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8610" tabRatio="982" activeTab="9"/>
  </bookViews>
  <sheets>
    <sheet name="ننگرهار" sheetId="73" r:id="rId1"/>
    <sheet name="خوست" sheetId="71" r:id="rId2"/>
    <sheet name="بلخ" sheetId="72" r:id="rId3"/>
    <sheet name=" کنر" sheetId="67" r:id="rId4"/>
    <sheet name="بدخشان" sheetId="66" r:id="rId5"/>
    <sheet name="کندز" sheetId="65" r:id="rId6"/>
    <sheet name="ارزگان" sheetId="14" r:id="rId7"/>
    <sheet name="هلمند" sheetId="16" r:id="rId8"/>
    <sheet name="نیمروز" sheetId="29" r:id="rId9"/>
    <sheet name="پنجشیر" sheetId="24" r:id="rId10"/>
    <sheet name="جوزجان" sheetId="34" r:id="rId11"/>
    <sheet name="سمنگان" sheetId="36" r:id="rId12"/>
    <sheet name="هرات" sheetId="35" r:id="rId13"/>
    <sheet name="فاریاب" sheetId="8" r:id="rId14"/>
    <sheet name="نورستان" sheetId="64" r:id="rId15"/>
    <sheet name="میدان وردگ" sheetId="62" r:id="rId16"/>
    <sheet name="لوگر" sheetId="61" r:id="rId17"/>
    <sheet name="لغمان" sheetId="60" r:id="rId18"/>
    <sheet name="کندهار" sheetId="58" r:id="rId19"/>
    <sheet name="کاپیسا" sheetId="57" r:id="rId20"/>
    <sheet name="کابل" sheetId="56" r:id="rId21"/>
    <sheet name="غور" sheetId="55" r:id="rId22"/>
    <sheet name="غزنی" sheetId="54" r:id="rId23"/>
    <sheet name="سرپل" sheetId="53" r:id="rId24"/>
    <sheet name="زابل" sheetId="52" r:id="rId25"/>
    <sheet name="تخار" sheetId="51" r:id="rId26"/>
    <sheet name="پکتیا" sheetId="50" r:id="rId27"/>
    <sheet name="بامیان" sheetId="49" r:id="rId28"/>
    <sheet name="بادغیس" sheetId="48" r:id="rId29"/>
    <sheet name="پروان" sheetId="47" r:id="rId30"/>
    <sheet name="بغلان" sheetId="46" r:id="rId31"/>
    <sheet name="پکتیکا" sheetId="45" r:id="rId32"/>
    <sheet name="فراه" sheetId="44" r:id="rId33"/>
    <sheet name="دایکندی" sheetId="43" r:id="rId34"/>
    <sheet name="Sheet1" sheetId="68" r:id="rId35"/>
  </sheets>
  <externalReferences>
    <externalReference r:id="rId36"/>
    <externalReference r:id="rId37"/>
  </externalReferences>
  <definedNames>
    <definedName name="_xlnm._FilterDatabase" localSheetId="6" hidden="1">ارزگان!$C$1:$C$40</definedName>
    <definedName name="_xlnm._FilterDatabase" localSheetId="28" hidden="1">بادغیس!$D$1:$D$45</definedName>
    <definedName name="_xlnm._FilterDatabase" localSheetId="27" hidden="1">بامیان!$D$1:$D$47</definedName>
    <definedName name="_xlnm._FilterDatabase" localSheetId="4" hidden="1">بدخشان!$D$1:$D$98</definedName>
    <definedName name="_xlnm._FilterDatabase" localSheetId="30" hidden="1">بغلان!$D$1:$D$69</definedName>
    <definedName name="_xlnm._FilterDatabase" localSheetId="2" hidden="1">بلخ!$D$1:$D$74</definedName>
    <definedName name="_xlnm._FilterDatabase" localSheetId="29" hidden="1">پروان!$A$6:$Q$6</definedName>
    <definedName name="_xlnm._FilterDatabase" localSheetId="26" hidden="1">پکتیا!$A$6:$Q$6</definedName>
    <definedName name="_xlnm._FilterDatabase" localSheetId="31" hidden="1">پکتیکا!$A$6:$P$6</definedName>
    <definedName name="_xlnm._FilterDatabase" localSheetId="9" hidden="1">پنجشیر!$D$1:$D$50</definedName>
    <definedName name="_xlnm._FilterDatabase" localSheetId="10" hidden="1">جوزجان!$D$1:$D$65</definedName>
    <definedName name="_xlnm._FilterDatabase" localSheetId="1" hidden="1">خوست!$A$6:$Q$6</definedName>
    <definedName name="_xlnm._FilterDatabase" localSheetId="33" hidden="1">دایکندی!$A$6:$Q$6</definedName>
    <definedName name="_xlnm._FilterDatabase" localSheetId="24" hidden="1">زابل!$A$6:$P$6</definedName>
    <definedName name="_xlnm._FilterDatabase" localSheetId="23" hidden="1">سرپل!$A$6:$Q$6</definedName>
    <definedName name="_xlnm._FilterDatabase" localSheetId="11" hidden="1">سمنگان!$D$1:$D$71</definedName>
    <definedName name="_xlnm._FilterDatabase" localSheetId="22" hidden="1">غزنی!$A$6:$Q$6</definedName>
    <definedName name="_xlnm._FilterDatabase" localSheetId="21" hidden="1">غور!$A$6:$P$50</definedName>
    <definedName name="_xlnm._FilterDatabase" localSheetId="13" hidden="1">فاریاب!$D$1:$D$63</definedName>
    <definedName name="_xlnm._FilterDatabase" localSheetId="32" hidden="1">فراه!$A$6:$P$6</definedName>
    <definedName name="_xlnm._FilterDatabase" localSheetId="20" hidden="1">کابل!$A$6:$Q$6</definedName>
    <definedName name="_xlnm._FilterDatabase" localSheetId="19" hidden="1">کاپیسا!$D$1:$D$42</definedName>
    <definedName name="_xlnm._FilterDatabase" localSheetId="5" hidden="1">کندز!$D$1:$D$102</definedName>
    <definedName name="_xlnm._FilterDatabase" localSheetId="17" hidden="1">لغمان!$D$1:$D$55</definedName>
    <definedName name="_xlnm._FilterDatabase" localSheetId="16" hidden="1">لوگر!$D$1:$D$44</definedName>
    <definedName name="_xlnm._FilterDatabase" localSheetId="15" hidden="1">'میدان وردگ'!$D$1:$D$43</definedName>
    <definedName name="_xlnm._FilterDatabase" localSheetId="0" hidden="1">ننگرهار!$A$5:$P$6</definedName>
    <definedName name="_xlnm._FilterDatabase" localSheetId="14" hidden="1">نورستان!$A$6:$Q$6</definedName>
    <definedName name="_xlnm._FilterDatabase" localSheetId="8" hidden="1">نیمروز!$D$1:$D$34</definedName>
    <definedName name="_xlnm._FilterDatabase" localSheetId="12" hidden="1">هرات!$D$1:$D$81</definedName>
    <definedName name="_xlnm._FilterDatabase" localSheetId="7" hidden="1">هلمند!$D$1:$D$44</definedName>
    <definedName name="_xlnm.Criteria" localSheetId="5">کندز!$A:$P</definedName>
    <definedName name="_xlnm.Print_Area" localSheetId="6">ارزگان!$A$1:$O$44</definedName>
    <definedName name="_xlnm.Print_Area" localSheetId="28">بادغیس!$A$1:$P$55</definedName>
    <definedName name="_xlnm.Print_Area" localSheetId="27">بامیان!$A$1:$P$69</definedName>
    <definedName name="_xlnm.Print_Area" localSheetId="4">بدخشان!$A$1:$P$103</definedName>
    <definedName name="_xlnm.Print_Area" localSheetId="30">بغلان!$A$1:$P$113</definedName>
    <definedName name="_xlnm.Print_Area" localSheetId="2">بلخ!$A$1:$P$109</definedName>
    <definedName name="_xlnm.Print_Area" localSheetId="29">پروان!$A$1:$P$82</definedName>
    <definedName name="_xlnm.Print_Area" localSheetId="26">پکتیا!$A$1:$P$74</definedName>
    <definedName name="_xlnm.Print_Area" localSheetId="31">پکتیکا!$A$1:$P$61</definedName>
    <definedName name="_xlnm.Print_Area" localSheetId="9">پنجشیر!$A$1:$P$50</definedName>
    <definedName name="_xlnm.Print_Area" localSheetId="10">جوزجان!$A$1:$P$79</definedName>
    <definedName name="_xlnm.Print_Area" localSheetId="1">خوست!$A$1:$P$59</definedName>
    <definedName name="_xlnm.Print_Area" localSheetId="33">دایکندی!$A$1:$P$55</definedName>
    <definedName name="_xlnm.Print_Area" localSheetId="24">زابل!$A$1:$P$50</definedName>
    <definedName name="_xlnm.Print_Area" localSheetId="23">سرپل!$A$1:$P$57</definedName>
    <definedName name="_xlnm.Print_Area" localSheetId="11">سمنگان!$A$1:$P$77</definedName>
    <definedName name="_xlnm.Print_Area" localSheetId="22">غزنی!$A$1:$P$74</definedName>
    <definedName name="_xlnm.Print_Area" localSheetId="21">غور!$A$1:$P$54</definedName>
    <definedName name="_xlnm.Print_Area" localSheetId="13">فاریاب!$A$1:$P$63</definedName>
    <definedName name="_xlnm.Print_Area" localSheetId="32">فراه!$A$1:$P$65</definedName>
    <definedName name="_xlnm.Print_Area" localSheetId="20">کابل!$A$1:$P$145</definedName>
    <definedName name="_xlnm.Print_Area" localSheetId="19">کاپیسا!$A$1:$P$47</definedName>
    <definedName name="_xlnm.Print_Area" localSheetId="5">کندز!$A$1:$P$106</definedName>
    <definedName name="_xlnm.Print_Area" localSheetId="17">لغمان!$A$1:$P$71</definedName>
    <definedName name="_xlnm.Print_Area" localSheetId="16">لوگر!$A$1:$P$117</definedName>
    <definedName name="_xlnm.Print_Area" localSheetId="15">'میدان وردگ'!$A$1:$P$61</definedName>
    <definedName name="_xlnm.Print_Area" localSheetId="0">ننگرهار!$A$1:$P$156</definedName>
    <definedName name="_xlnm.Print_Area" localSheetId="14">نورستان!$A$1:$P$42</definedName>
    <definedName name="_xlnm.Print_Area" localSheetId="8">نیمروز!$A$1:$P$37</definedName>
    <definedName name="_xlnm.Print_Area" localSheetId="12">هرات!$A$1:$P$137</definedName>
    <definedName name="_xlnm.Print_Area" localSheetId="7">هلمند!$A$1:$P$51</definedName>
    <definedName name="_xlnm.Print_Titles" localSheetId="6">ارزگان!$5:$6</definedName>
    <definedName name="_xlnm.Print_Titles" localSheetId="28">بادغیس!$4:$5</definedName>
    <definedName name="_xlnm.Print_Titles" localSheetId="27">بامیان!$5:$6</definedName>
    <definedName name="_xlnm.Print_Titles" localSheetId="4">بدخشان!$5:$6</definedName>
    <definedName name="_xlnm.Print_Titles" localSheetId="30">بغلان!$5:$6</definedName>
    <definedName name="_xlnm.Print_Titles" localSheetId="2">بلخ!$5:$6</definedName>
    <definedName name="_xlnm.Print_Titles" localSheetId="29">پروان!$5:$6</definedName>
    <definedName name="_xlnm.Print_Titles" localSheetId="26">پکتیا!$5:$6</definedName>
    <definedName name="_xlnm.Print_Titles" localSheetId="31">پکتیکا!$5:$6</definedName>
    <definedName name="_xlnm.Print_Titles" localSheetId="9">پنجشیر!$5:$6</definedName>
    <definedName name="_xlnm.Print_Titles" localSheetId="10">جوزجان!$5:$6</definedName>
    <definedName name="_xlnm.Print_Titles" localSheetId="1">خوست!$5:$6</definedName>
    <definedName name="_xlnm.Print_Titles" localSheetId="33">دایکندی!$5:$6</definedName>
    <definedName name="_xlnm.Print_Titles" localSheetId="24">زابل!$5:$6</definedName>
    <definedName name="_xlnm.Print_Titles" localSheetId="23">سرپل!$5:$6</definedName>
    <definedName name="_xlnm.Print_Titles" localSheetId="11">سمنگان!$5:$6</definedName>
    <definedName name="_xlnm.Print_Titles" localSheetId="22">غزنی!$5:$6</definedName>
    <definedName name="_xlnm.Print_Titles" localSheetId="21">غور!$5:$6</definedName>
    <definedName name="_xlnm.Print_Titles" localSheetId="13">فاریاب!$5:$6</definedName>
    <definedName name="_xlnm.Print_Titles" localSheetId="32">فراه!$5:$6</definedName>
    <definedName name="_xlnm.Print_Titles" localSheetId="20">کابل!$5:$6</definedName>
    <definedName name="_xlnm.Print_Titles" localSheetId="19">کاپیسا!$5:$6</definedName>
    <definedName name="_xlnm.Print_Titles" localSheetId="5">کندز!$5:$6</definedName>
    <definedName name="_xlnm.Print_Titles" localSheetId="17">لغمان!$5:$6</definedName>
    <definedName name="_xlnm.Print_Titles" localSheetId="16">لوگر!$5:$6</definedName>
    <definedName name="_xlnm.Print_Titles" localSheetId="15">'میدان وردگ'!$5:$6</definedName>
    <definedName name="_xlnm.Print_Titles" localSheetId="0">ننگرهار!#REF!</definedName>
    <definedName name="_xlnm.Print_Titles" localSheetId="14">نورستان!$5:$6</definedName>
    <definedName name="_xlnm.Print_Titles" localSheetId="8">نیمروز!$5:$6</definedName>
    <definedName name="_xlnm.Print_Titles" localSheetId="12">هرات!$5:$6</definedName>
    <definedName name="_xlnm.Print_Titles" localSheetId="7">هلمند!$4:$5</definedName>
  </definedNames>
  <calcPr calcId="124519" concurrentCalc="0"/>
</workbook>
</file>

<file path=xl/calcChain.xml><?xml version="1.0" encoding="utf-8"?>
<calcChain xmlns="http://schemas.openxmlformats.org/spreadsheetml/2006/main">
  <c r="F21" i="73"/>
  <c r="F35"/>
  <c r="F37"/>
  <c r="F38"/>
  <c r="F39"/>
  <c r="F40"/>
  <c r="F41"/>
  <c r="F42"/>
  <c r="F44"/>
  <c r="F45"/>
  <c r="F46"/>
  <c r="F47"/>
  <c r="F48"/>
  <c r="F50"/>
  <c r="F51"/>
  <c r="F52"/>
  <c r="F54"/>
  <c r="F55"/>
  <c r="F56"/>
  <c r="F57"/>
  <c r="F58"/>
  <c r="F59"/>
  <c r="F60"/>
  <c r="F63"/>
  <c r="F64"/>
  <c r="F65"/>
  <c r="F66"/>
  <c r="F67"/>
  <c r="F68"/>
  <c r="F36" i="72"/>
  <c r="F37"/>
  <c r="F39"/>
  <c r="F40"/>
  <c r="F41"/>
  <c r="F42"/>
  <c r="F43"/>
  <c r="F44"/>
  <c r="F45"/>
  <c r="F46"/>
  <c r="F48"/>
  <c r="F49"/>
  <c r="F50"/>
  <c r="F51"/>
  <c r="F52"/>
  <c r="F53"/>
  <c r="F54"/>
  <c r="F55"/>
  <c r="F56"/>
  <c r="F57"/>
  <c r="F58"/>
  <c r="F59"/>
  <c r="F60"/>
  <c r="F61"/>
  <c r="F62"/>
  <c r="F63"/>
  <c r="F64"/>
  <c r="F65"/>
  <c r="F66"/>
  <c r="U67"/>
  <c r="F69"/>
  <c r="F70"/>
  <c r="F71"/>
  <c r="F72"/>
  <c r="F134" i="35"/>
  <c r="F36" i="57"/>
  <c r="F25" i="61"/>
  <c r="F23"/>
  <c r="F63" i="34"/>
  <c r="F59"/>
  <c r="F101" i="65"/>
  <c r="F96"/>
  <c r="F88"/>
  <c r="F81"/>
  <c r="F79"/>
  <c r="F70" i="66"/>
  <c r="F68"/>
  <c r="F67"/>
  <c r="F64" i="67"/>
  <c r="F63"/>
  <c r="F56"/>
  <c r="F50"/>
  <c r="F48"/>
  <c r="F47"/>
  <c r="F45"/>
  <c r="F52" i="53"/>
  <c r="F46"/>
  <c r="F45"/>
  <c r="F44"/>
  <c r="F41"/>
  <c r="F40"/>
  <c r="F39"/>
  <c r="F37"/>
  <c r="F31"/>
  <c r="F27"/>
  <c r="F25"/>
  <c r="F24"/>
  <c r="F20"/>
  <c r="F44" i="49"/>
  <c r="F41"/>
  <c r="F33"/>
  <c r="F32"/>
  <c r="F31"/>
  <c r="F30"/>
  <c r="F29"/>
  <c r="F28"/>
  <c r="F64" i="46"/>
  <c r="F57"/>
  <c r="F56"/>
  <c r="F55"/>
  <c r="F53"/>
  <c r="F52"/>
  <c r="F44"/>
  <c r="F42"/>
  <c r="F41"/>
  <c r="F55" i="50"/>
  <c r="F52"/>
  <c r="F51"/>
  <c r="F50"/>
  <c r="F49"/>
  <c r="F48"/>
  <c r="F46"/>
  <c r="F45"/>
  <c r="F44"/>
  <c r="F41"/>
  <c r="F39"/>
  <c r="F35"/>
  <c r="F34"/>
  <c r="F33"/>
  <c r="F32"/>
  <c r="F31"/>
  <c r="F30"/>
  <c r="F29"/>
  <c r="F76" i="51"/>
  <c r="F74"/>
  <c r="F73"/>
  <c r="F72"/>
  <c r="F71"/>
  <c r="F70"/>
  <c r="F60"/>
  <c r="F59"/>
  <c r="F58"/>
  <c r="F25" i="52"/>
  <c r="F49" i="55"/>
  <c r="F48"/>
  <c r="F47"/>
  <c r="F46"/>
  <c r="F45"/>
  <c r="F44"/>
  <c r="F43"/>
  <c r="F40"/>
  <c r="F37"/>
  <c r="F36"/>
  <c r="F34"/>
  <c r="F54" i="56"/>
  <c r="F50"/>
  <c r="F49"/>
  <c r="F48"/>
  <c r="F47"/>
  <c r="F46"/>
  <c r="F44"/>
  <c r="F43"/>
  <c r="F42"/>
  <c r="F41"/>
  <c r="F40"/>
  <c r="F39"/>
  <c r="F38"/>
  <c r="F37"/>
  <c r="F36"/>
  <c r="F35"/>
  <c r="F32"/>
  <c r="F30"/>
  <c r="F29"/>
  <c r="F27"/>
  <c r="F26" i="57"/>
  <c r="F33"/>
  <c r="F32"/>
  <c r="F31"/>
  <c r="F40"/>
  <c r="F39"/>
  <c r="F62" i="58"/>
  <c r="F40"/>
  <c r="F34" i="61"/>
  <c r="F37"/>
  <c r="F40"/>
  <c r="F41" i="62"/>
  <c r="F27"/>
  <c r="F35" i="8"/>
  <c r="F34"/>
  <c r="F33"/>
  <c r="F32"/>
  <c r="F46"/>
  <c r="F53"/>
  <c r="F52"/>
  <c r="F55"/>
  <c r="F78" i="35"/>
  <c r="F74"/>
  <c r="F73"/>
  <c r="F72"/>
  <c r="F71"/>
  <c r="F58"/>
  <c r="F56"/>
  <c r="F55"/>
  <c r="F54"/>
  <c r="F53"/>
  <c r="F69" i="36"/>
  <c r="F50"/>
  <c r="F49"/>
  <c r="F48"/>
  <c r="F47"/>
  <c r="F46"/>
  <c r="F45"/>
  <c r="F51" i="34"/>
  <c r="F50"/>
  <c r="F49"/>
  <c r="F47"/>
  <c r="F46"/>
  <c r="F45"/>
  <c r="F38"/>
  <c r="F17" i="71"/>
  <c r="F19"/>
  <c r="F21"/>
  <c r="F22"/>
  <c r="F23"/>
  <c r="F24"/>
  <c r="F25"/>
  <c r="F26"/>
  <c r="F27"/>
  <c r="F28"/>
  <c r="F29"/>
  <c r="F30"/>
  <c r="F31"/>
  <c r="F32"/>
  <c r="F33"/>
  <c r="F34"/>
  <c r="F35"/>
  <c r="F36"/>
  <c r="F37"/>
  <c r="F38"/>
  <c r="F39"/>
  <c r="F40"/>
  <c r="F41"/>
  <c r="F42"/>
  <c r="F43"/>
  <c r="F7" i="61"/>
  <c r="F7" i="62"/>
  <c r="F36" i="60"/>
  <c r="F50" i="46"/>
  <c r="F34" i="48"/>
  <c r="F32" i="53"/>
  <c r="F29" i="57"/>
  <c r="F55" i="58"/>
  <c r="F33" i="61"/>
  <c r="F25" i="64"/>
  <c r="E35" i="14"/>
  <c r="F91" i="65"/>
  <c r="F43" i="67"/>
  <c r="F49"/>
  <c r="F51"/>
  <c r="F52"/>
  <c r="F53"/>
  <c r="F54"/>
  <c r="F55"/>
  <c r="F57"/>
  <c r="F58"/>
  <c r="F59"/>
  <c r="F60"/>
  <c r="F61"/>
  <c r="F65"/>
  <c r="F66"/>
  <c r="F67"/>
  <c r="F71"/>
  <c r="F72"/>
  <c r="F74"/>
  <c r="F75"/>
  <c r="F63" i="66"/>
  <c r="F64"/>
  <c r="F66"/>
  <c r="F69"/>
  <c r="F72"/>
  <c r="F73"/>
  <c r="F74"/>
  <c r="F75"/>
  <c r="F76"/>
  <c r="F77"/>
  <c r="F79"/>
  <c r="F80"/>
  <c r="F81"/>
  <c r="F82"/>
  <c r="F83"/>
  <c r="F84"/>
  <c r="F85"/>
  <c r="F87"/>
  <c r="F88"/>
  <c r="F89"/>
  <c r="F75" i="65"/>
  <c r="F76"/>
  <c r="F78"/>
  <c r="F80"/>
  <c r="F83"/>
  <c r="F84"/>
  <c r="F85"/>
  <c r="F86"/>
  <c r="F87"/>
  <c r="F89"/>
  <c r="F90"/>
  <c r="F92"/>
  <c r="F94"/>
  <c r="F95"/>
  <c r="F99"/>
  <c r="F100"/>
  <c r="F21" i="62"/>
  <c r="F22"/>
  <c r="F24"/>
  <c r="F25"/>
  <c r="F26"/>
  <c r="F28"/>
  <c r="F29"/>
  <c r="F30"/>
  <c r="F31"/>
  <c r="F32"/>
  <c r="F33"/>
  <c r="F34"/>
  <c r="F35"/>
  <c r="F36"/>
  <c r="F37"/>
  <c r="F39"/>
  <c r="F40"/>
  <c r="F16" i="61"/>
  <c r="F19"/>
  <c r="F20"/>
  <c r="F22"/>
  <c r="F24"/>
  <c r="F26"/>
  <c r="F27"/>
  <c r="F29"/>
  <c r="F30"/>
  <c r="F31"/>
  <c r="F32"/>
  <c r="F35"/>
  <c r="F36"/>
  <c r="F38"/>
  <c r="F41"/>
  <c r="F42"/>
  <c r="F43"/>
  <c r="F53" i="60"/>
  <c r="F31" i="58"/>
  <c r="F65"/>
  <c r="F66"/>
  <c r="F67"/>
  <c r="F21" i="57"/>
  <c r="F22"/>
  <c r="F24"/>
  <c r="F25"/>
  <c r="F27"/>
  <c r="F28"/>
  <c r="F30"/>
  <c r="F34"/>
  <c r="F35"/>
  <c r="F37"/>
  <c r="F31" i="56"/>
  <c r="F34"/>
  <c r="F45"/>
  <c r="F52"/>
  <c r="F53"/>
  <c r="F55"/>
  <c r="F65"/>
  <c r="F31" i="55"/>
  <c r="F38"/>
  <c r="F41"/>
  <c r="F42"/>
  <c r="F23" i="54"/>
  <c r="F24"/>
  <c r="F25"/>
  <c r="F27"/>
  <c r="F28"/>
  <c r="F29"/>
  <c r="F30"/>
  <c r="F21" i="53"/>
  <c r="F23"/>
  <c r="F26"/>
  <c r="F28"/>
  <c r="F29"/>
  <c r="F30"/>
  <c r="F33"/>
  <c r="F34"/>
  <c r="F35"/>
  <c r="F36"/>
  <c r="F38"/>
  <c r="F50"/>
  <c r="F51"/>
  <c r="F42" i="52"/>
  <c r="F54" i="51"/>
  <c r="F55"/>
  <c r="F57"/>
  <c r="F61"/>
  <c r="F62"/>
  <c r="F63"/>
  <c r="F64"/>
  <c r="F65"/>
  <c r="F66"/>
  <c r="F67"/>
  <c r="F75"/>
  <c r="F78"/>
  <c r="F79"/>
  <c r="F80"/>
  <c r="F26" i="50"/>
  <c r="F27"/>
  <c r="F37"/>
  <c r="F38"/>
  <c r="F42"/>
  <c r="F43"/>
  <c r="F47"/>
  <c r="F53"/>
  <c r="F54"/>
  <c r="F24" i="49"/>
  <c r="F25"/>
  <c r="F27"/>
  <c r="F34"/>
  <c r="F35"/>
  <c r="F36"/>
  <c r="F37"/>
  <c r="F38"/>
  <c r="F39"/>
  <c r="F40"/>
  <c r="F42"/>
  <c r="F43"/>
  <c r="F18" i="47"/>
  <c r="F19"/>
  <c r="F21"/>
  <c r="F22"/>
  <c r="F24"/>
  <c r="F25"/>
  <c r="F30"/>
  <c r="F31"/>
  <c r="F37" i="46"/>
  <c r="F38"/>
  <c r="F40"/>
  <c r="F43"/>
  <c r="F46"/>
  <c r="F47"/>
  <c r="F48"/>
  <c r="F49"/>
  <c r="F51"/>
  <c r="F54"/>
  <c r="F59"/>
  <c r="F60"/>
  <c r="F61"/>
  <c r="F65"/>
  <c r="F17" i="45"/>
  <c r="F54" i="8"/>
  <c r="F51"/>
  <c r="F50"/>
  <c r="F49"/>
  <c r="F48"/>
  <c r="F47"/>
  <c r="F45"/>
  <c r="F44"/>
  <c r="F43"/>
  <c r="F42"/>
  <c r="F41"/>
  <c r="F40"/>
  <c r="F39"/>
  <c r="F38"/>
  <c r="F37"/>
  <c r="F36"/>
  <c r="F31"/>
  <c r="F29"/>
  <c r="F77" i="35"/>
  <c r="F76"/>
  <c r="F75"/>
  <c r="F70"/>
  <c r="F69"/>
  <c r="F68"/>
  <c r="F67"/>
  <c r="F66"/>
  <c r="F65"/>
  <c r="F64"/>
  <c r="F63"/>
  <c r="F62"/>
  <c r="F61"/>
  <c r="F60"/>
  <c r="F57"/>
  <c r="F52"/>
  <c r="F50"/>
  <c r="F49"/>
  <c r="F46"/>
  <c r="F66" i="36"/>
  <c r="F65"/>
  <c r="F64"/>
  <c r="F63"/>
  <c r="F62"/>
  <c r="F61"/>
  <c r="F60"/>
  <c r="F59"/>
  <c r="F58"/>
  <c r="F57"/>
  <c r="F56"/>
  <c r="F55"/>
  <c r="F54"/>
  <c r="F53"/>
  <c r="F52"/>
  <c r="F51"/>
  <c r="F44"/>
  <c r="F42"/>
  <c r="F41"/>
  <c r="F40"/>
  <c r="F62" i="34"/>
  <c r="F61"/>
  <c r="F58"/>
  <c r="F55"/>
  <c r="F54"/>
  <c r="F53"/>
  <c r="F48"/>
  <c r="F44"/>
  <c r="F43"/>
  <c r="F42"/>
  <c r="F41"/>
  <c r="F40"/>
  <c r="F39"/>
  <c r="F37"/>
  <c r="F36"/>
  <c r="F34"/>
  <c r="F32" i="29"/>
</calcChain>
</file>

<file path=xl/sharedStrings.xml><?xml version="1.0" encoding="utf-8"?>
<sst xmlns="http://schemas.openxmlformats.org/spreadsheetml/2006/main" count="20236" uniqueCount="2142">
  <si>
    <t>شماره</t>
  </si>
  <si>
    <t>سکتور</t>
  </si>
  <si>
    <t xml:space="preserve">حالت فعلی </t>
  </si>
  <si>
    <t>متوقف</t>
  </si>
  <si>
    <t>فعال</t>
  </si>
  <si>
    <t>دلیل متوقف بودن</t>
  </si>
  <si>
    <t>شخص افتتاح کننده</t>
  </si>
  <si>
    <t>سال افتتاح</t>
  </si>
  <si>
    <t>ملاحظات</t>
  </si>
  <si>
    <t>بودجه اختصاص داده شده</t>
  </si>
  <si>
    <t>مقدار بودجه</t>
  </si>
  <si>
    <t>واحد پولی</t>
  </si>
  <si>
    <t>منبع</t>
  </si>
  <si>
    <t>راه حل پیشنهادی جهت آغاز مجدد پروژه</t>
  </si>
  <si>
    <t>وزارت / اداره</t>
  </si>
  <si>
    <t>نام پروژه</t>
  </si>
  <si>
    <t>فیصدی پیشرفت الی تاریخ ارائه گزارش</t>
  </si>
  <si>
    <t xml:space="preserve"> </t>
  </si>
  <si>
    <t>موقعیت(ولسوالی/قریه )</t>
  </si>
  <si>
    <t>موقعیت(ولسوالی /قریه)</t>
  </si>
  <si>
    <t>زراعت، آبیاری و مالداری</t>
  </si>
  <si>
    <t>توسعه کشت پخته وزعفران</t>
  </si>
  <si>
    <t>ایجاد (5) قطعات نمونوی استندرد زعفران وتوزیع کود تقویتی برای قطعات نمایشی</t>
  </si>
  <si>
    <t>افغانی</t>
  </si>
  <si>
    <t>دولت افغانستان</t>
  </si>
  <si>
    <t>ریاست زراعت ولایت</t>
  </si>
  <si>
    <t>ایجاد (30) قطعه نمایشی پخته ومصارف کودکمیاوی وبسته های زراعتی</t>
  </si>
  <si>
    <t xml:space="preserve">آموزش دهاقین پخته کار درمورد کشت، پرورش وبرداشت پخته </t>
  </si>
  <si>
    <t>تهیه وتوزیع تخم بذری و کود کمیاوی</t>
  </si>
  <si>
    <t>فراهم آوری تهسیلات جهت احداث 12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</si>
  <si>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فراهم آوری تسهیلات جهت اهداث 20 قطعه نمایشی سایبین (انتقال بودجه جهت تهیه مواد زراعتی،آموزش وتجلیل ازروز مزرعه به مستوفیت ولایت مربوطه وارسال رهنمود احداث قطعات نمایشی همراه با پلان مالی به ریاست های زراعت ولایت)</t>
  </si>
  <si>
    <t>برنامه ملی انکشاف مالداری و صحت حیوانی</t>
  </si>
  <si>
    <t>تهیه و خریداری واکسین طاعون حیوانات نشخوار کنندۀ کوچک بز و گوسفند (PPR)</t>
  </si>
  <si>
    <t>تکمیل گردیده</t>
  </si>
  <si>
    <t>تطبیق واکسین مریضی تب کانگو</t>
  </si>
  <si>
    <t xml:space="preserve">متوقف است </t>
  </si>
  <si>
    <t xml:space="preserve">پول آن برای فارم مرغداری بگرامی انتقال شده  است </t>
  </si>
  <si>
    <t>تدویر  یک دوره کورس آموزشی در بخش ماهی پروری</t>
  </si>
  <si>
    <t>انتقال، تطبیق و مانیتورینگ از برنامۀ تطبیق کمپاینFMD</t>
  </si>
  <si>
    <t>در حال جریان است</t>
  </si>
  <si>
    <t>پروژه ملی باغداری و مالداری (NHLP)</t>
  </si>
  <si>
    <t>بانک جهانی</t>
  </si>
  <si>
    <t xml:space="preserve">در حال جریان است </t>
  </si>
  <si>
    <t>احیآ مجدد 100 هکتار باغهای کهنه</t>
  </si>
  <si>
    <t>اعمار 8 باب ذخیره گاه خاکی آب باران</t>
  </si>
  <si>
    <t>ایجاد 4 مراکز خدمات برای دهاقین</t>
  </si>
  <si>
    <t>پیوند کردن نهال های پسته در 5 هکتار باغهای پسته</t>
  </si>
  <si>
    <t xml:space="preserve">توزیع  150 بسته از ادویه جات بیولوژیکی نباتی جهت کنترول آفات وامراض نباتی </t>
  </si>
  <si>
    <t xml:space="preserve"> ایجاد 2 باب کلینیک سیار نباتی برای کنترول آفات وامراض نباتی</t>
  </si>
  <si>
    <t>توزیع تلک های فیرامونی برای کنترول حشرات در 150 قطعات نمایشی باغها</t>
  </si>
  <si>
    <t>توزیع 5 بسته از لوازم پروسیس سبزیجات برای دهاقین طبقه اناث</t>
  </si>
  <si>
    <t>اعمار واحد های تولیدی کود عضوی برای باغچه های خانگی به تعداد 5 باب</t>
  </si>
  <si>
    <t xml:space="preserve">پرداخت فیس واکسین برای VFUs ( کلینیک های ساحوی وترنری ) بخاطراشتراک در کمپاین تطبیق واکسین بروسلوز برای حیوانات بزرگ </t>
  </si>
  <si>
    <t>حمایت از صنایع لبنیات خصوصی و اصلاح و بهتر سازی ساختمانها و تسهیلات موجوده در این عرصه ( حمایت مالی و تخیکی از 2 باب مراکز جمع آوری شیر)</t>
  </si>
  <si>
    <t>انکشاف باغداری</t>
  </si>
  <si>
    <t>احیاء، توسعه ومراقبت فارم های تحقیقاتی، ترویجی و تولیدی</t>
  </si>
  <si>
    <t>در سال بعدی فعالیت متذکره در صورت موجودیت بودجه در نظر گرفته خواهد شد</t>
  </si>
  <si>
    <t>پروژه زراعت ومالداری به اشتراک مردم (CLAP)</t>
  </si>
  <si>
    <t xml:space="preserve">سازمان بین المللی انکشافی زراعتی </t>
  </si>
  <si>
    <t>برنامه حمایت از اولیت های ملی دوم  (SNaPP2)</t>
  </si>
  <si>
    <t xml:space="preserve">ارتقا ظرفیت کارمندان ( برنامه اموزشی ToT در داخل و خارج از کشور) یک برنامه </t>
  </si>
  <si>
    <t xml:space="preserve">دایر نمودن یک ورکشاپ معلوماتی FLRC برای دهاقین و مالداران </t>
  </si>
  <si>
    <t xml:space="preserve">خریداری سامان و وسایل اتحادیه های تحت پوشش و مراکز سرد کن شیر 1بسته </t>
  </si>
  <si>
    <t xml:space="preserve">خریداری 20 پایه ماشین قطع کننده علوفه ( chopper machine) برای مالداران </t>
  </si>
  <si>
    <t xml:space="preserve">ایجاد 550 باب قطعات نمایشی گندم، جواری، شالی و سبزیجات </t>
  </si>
  <si>
    <t xml:space="preserve">احداث نمودن 7 باب قوریه های مثمر </t>
  </si>
  <si>
    <t xml:space="preserve">احداث 17 باب باغچه های خانگی برای تولیدات سبریجات </t>
  </si>
  <si>
    <t>اعمار کمپلکس سردخانه عصری</t>
  </si>
  <si>
    <t>رهبری وزارت</t>
  </si>
  <si>
    <t>UNDP/INL</t>
  </si>
  <si>
    <t xml:space="preserve">در جریان است </t>
  </si>
  <si>
    <t xml:space="preserve">تکمیل گردیده است </t>
  </si>
  <si>
    <t xml:space="preserve">متوقف </t>
  </si>
  <si>
    <t>انکشاف خدمات مخابراتی</t>
  </si>
  <si>
    <t xml:space="preserve">وصل ریاست زراعت ولایت به شبکه فایبر نوری افغان تیلی کام </t>
  </si>
  <si>
    <t>زراعت،آبیاری و مالداری</t>
  </si>
  <si>
    <t>طرح مدیریت محصولات زراعتی</t>
  </si>
  <si>
    <t>حکومت افغانستان</t>
  </si>
  <si>
    <t xml:space="preserve"> در حال جریان است</t>
  </si>
  <si>
    <t>آموزش دهاقین که برای شان قطعه ایجاد گردیده ودهاقین همجوار زعفران کار مرد درزمینه تولید وایجادمکتب دهقانی</t>
  </si>
  <si>
    <t>تطبیق، انتقال واکسین، مانیتورینگ و خریداری تجهیزات برای کمپاین بیماری بروسلوز</t>
  </si>
  <si>
    <t>تحت پروسه تدارکات است</t>
  </si>
  <si>
    <t>احداث 110 هکتار باغهای جدید درختان مثمر</t>
  </si>
  <si>
    <t>احیآ مجدد باغهای کهنه بدون هزینه یعنی بشکل مشوره دهی فنی از طرف مامور ترویج با دهاقین صورت میگیرد</t>
  </si>
  <si>
    <t>نصب سیستم چایله در 2 هکتار باغهای انگور</t>
  </si>
  <si>
    <t>توزیع 3 پایه واترپمپ سولری برای آبیاری باغهای مثمر</t>
  </si>
  <si>
    <t>ایجاد 2 مراکز خدمات برای دهاقین</t>
  </si>
  <si>
    <t>توزیع تخم پسته برای  احداث 50 هکتارباغهای جدید پسته</t>
  </si>
  <si>
    <t xml:space="preserve">توزیع هنگ و زیره برای کشت، بحیث نبات دومی در 5 هکتار باغهای نو احداث شده پسته </t>
  </si>
  <si>
    <t>پیوند کردن نهال های پسته در 10 هکتار باغهای پسته</t>
  </si>
  <si>
    <t xml:space="preserve"> ایجاد 1 باب کلینیک سیار نباتی برای کنترول آفات وامراض نباتی</t>
  </si>
  <si>
    <t>توزیع تلک های فیرامونی برای کنترول حشرات در 100 قطعات نمایشی باغها</t>
  </si>
  <si>
    <t>توزیع چسپ های فیرامونی برای کنترول حشرات در 150 قطعات نمایشی باغها</t>
  </si>
  <si>
    <t xml:space="preserve">توزیع تلک های دلتا برای جلوگیری از امراض و حشرات در 100 قطعات نمایشی باغها </t>
  </si>
  <si>
    <t>توزیع 2 بسته از لوازم پروسیس سبزیجات برای دهاقین طبقه اناث</t>
  </si>
  <si>
    <t>اعمار واحد های تولیدی کود عضوی برای باغچه های خانگی به تعداد 10 باب</t>
  </si>
  <si>
    <t>حمایت از صنایع لبنیات خصوصی و اصلاح و بهتر سازی ساختمانها و تسهیلات موجوده در این عرصه ( حمایت مالی و تخیکی از 1 باب مراکز جمع آوری شیر)</t>
  </si>
  <si>
    <t xml:space="preserve">ایجاد شبکه استندرد تکنالوژی و نصب دکت ها، راه اندازی کیبل ها، نصب آیو و نصب رگ باکس ها در  ریاست زراعت ولایت </t>
  </si>
  <si>
    <t>آموزش دهاقین که برای شان قطعه ایجاد گردیده ودهاقین همجوار زعفران کار مرد درزمینه تولید</t>
  </si>
  <si>
    <t>فراهم آوری تسهیلات جهت اهداث 15 قطعه نمایشی سایبین (انتقال بودجه جهت تهیه مواد زراعتی،آموزش وتجلیل ازروز مزرعه به مستوفیت ولایت مربوطه وارسال رهنمود احداث قطعات نمایشی همراه با پلان مالی به ریاست های زراعت ولایت)</t>
  </si>
  <si>
    <t xml:space="preserve">در پروسه تدارکاتی است </t>
  </si>
  <si>
    <t xml:space="preserve">احداث 3 هکتار باغهای متراکم و نیمه متراکم </t>
  </si>
  <si>
    <t>بازدید وملاقات های  نمایشی کارمندان باغداری از ساحه به سطح  زون  ولایت</t>
  </si>
  <si>
    <t xml:space="preserve">توزیع تلک های دلتا برای جلوگیری از امراض و حشرات در 150 قطعات نمایشی باغها </t>
  </si>
  <si>
    <t>احداث 10 قطعات نمایشی  زعفران ( که فی قطعه دارای 1000m2 مساحت میباشد)</t>
  </si>
  <si>
    <t>قرارداد با 26 تن نماینده  گان  ترویجی از طبقه اناث برای انجام دادن خدمات ترویجی مالداری (دایر نمودن کورسهای اموزشی برای دهاقین اناث)</t>
  </si>
  <si>
    <t xml:space="preserve">توزیع بسته های مرغهای تخمی 30 قطعه ئی برای 1000 فامیل </t>
  </si>
  <si>
    <t>توزیع بسته  های حمایوی برای 1690 تن مستفدین مالداری از طبقه ذکور و اناث</t>
  </si>
  <si>
    <t>انکشاف امور کوچیها</t>
  </si>
  <si>
    <t xml:space="preserve">اعمار ذخیره آبگردان </t>
  </si>
  <si>
    <t>مشکلات امنیتی در ساحه تطبیق پروژه</t>
  </si>
  <si>
    <t>مبارزه علیه امراض وآفات نباتی</t>
  </si>
  <si>
    <t>ایجاد6 صنف مکتب 
مزرعه دهاقین</t>
  </si>
  <si>
    <t>لابراتوار کنترول
 بیولوژیکی</t>
  </si>
  <si>
    <t xml:space="preserve">فراهم آوری تهسیلات جهت احداث 16 قطعه نمایشی گندم </t>
  </si>
  <si>
    <t xml:space="preserve">احداث 15 قطعه نمایشی سایبین در کشت بهاری و تجلیل روز مزرعه </t>
  </si>
  <si>
    <t xml:space="preserve">توسعه کشت زعفران و پخته </t>
  </si>
  <si>
    <t>ایجاد (10) قطعات نمونوی استندرد زعفران وتوزیع کود تقویتی برای قطعات نمایشی</t>
  </si>
  <si>
    <t>آموزش دهاقین پخته کار درمورد کشت، پرورش وبرداشت پخته</t>
  </si>
  <si>
    <t>تطبیق ، انتقال واکسین ،مانیتورنگ و خریداری تجهیزات برای بروسلوز</t>
  </si>
  <si>
    <t xml:space="preserve">تطبیق واکسین مریضی تب کانگو </t>
  </si>
  <si>
    <t>تطبیق ، انتقال واکسین ،مانیتورنگ مرض طاعون (PPR)</t>
  </si>
  <si>
    <t xml:space="preserve">عقد قراداد دستورات صحی وترنری </t>
  </si>
  <si>
    <t xml:space="preserve">پروژه انکشاف امور کوچی ها </t>
  </si>
  <si>
    <t xml:space="preserve">توزیع هنگ و زیره برای کشت، بحیث نبات دومی در5 هکتار باغهای نو احداث شده پسته </t>
  </si>
  <si>
    <t>توزیع 1 بسته از لوازم پروسیس سبزیجات برای دهاقین طبقه اناث</t>
  </si>
  <si>
    <t>اعمار 1 واحد تولید کود کمپوست</t>
  </si>
  <si>
    <t xml:space="preserve">قرارداد با 8 باب VFUs ( واحد های ساحوی وترنری ) برای انجام دادن خدمات ترویجی مالداری  (دایرکردن کورسهای اموزشی برای دهاقین ذکور) </t>
  </si>
  <si>
    <t>قرارداد با 16 تن نماینده  گان  ترویجی از طبقه اناث برای انجام دادن خدمات ترویجی مالداری (دایر نمودن کورسهای اموزشی برای دهاقین اناث)</t>
  </si>
  <si>
    <t xml:space="preserve">توزیع بسته  های حمایوی برای 1040 تن مستفدین مالداری از طبقه ذکور </t>
  </si>
  <si>
    <t xml:space="preserve"> انکشاف خدمات مخابراتی</t>
  </si>
  <si>
    <t>موزش دهاقین که برای شان قطعه ایجاد گردیده ودهاقین همجوار زعفران کار مرد درزمینه تولید وایجادمکتب دهقانی</t>
  </si>
  <si>
    <t>اعمار و تجهیز یکباب مرکز اصلاح نسل (استیشن القاح مصنوعی)</t>
  </si>
  <si>
    <t xml:space="preserve">احداث 1  هکتار باغهای متراکم و نیمه متراکم </t>
  </si>
  <si>
    <t xml:space="preserve">اعمار و مدیریت آبریزه های کوچک بخاطر آبیاری 6 هکتارزمین للمی و بدون اب </t>
  </si>
  <si>
    <t xml:space="preserve">متوقف شده </t>
  </si>
  <si>
    <t>توزبع 26 بسته  وسایل باغداری برای کارمندان ترویج و دهاقین پیشقدم</t>
  </si>
  <si>
    <t xml:space="preserve">توزیع  100 بسته از ادویه جات بیولوژیکی نباتی جهت کنترول آفات وامراض نباتی </t>
  </si>
  <si>
    <t xml:space="preserve">  توزیع 150 بسته از لباس محافظوی و وسایل ادویه پاشی برای جلوگیری از تاثیرات منفی ادویه جات کیمیاوی</t>
  </si>
  <si>
    <t xml:space="preserve">توزیع لوازم واکسین، مواد آگاهی دهی و تطبیق کمپاین و تست موثریت واکسین بعد از تطبیق ونظارت از کورسهای آموزشی برای VFUs/PVOs در 15 ولسوالی  </t>
  </si>
  <si>
    <t xml:space="preserve">ایجاد 20 باب فارم ماهی پروری گرم آبی </t>
  </si>
  <si>
    <t>دالر</t>
  </si>
  <si>
    <t>ایجاد  شبکه استندرد تکنالوژی و نصب دکت ها، راه اندازی کیبل ها، نصب آیو و نصب رگ باکس ها در  ریاست زراعت ولایت</t>
  </si>
  <si>
    <t xml:space="preserve">وصل  ریاست زراعت ولایات  به شبکه فایبر نوری افغان تیلی کام </t>
  </si>
  <si>
    <t>زراعت ، آبیاری و مالداری</t>
  </si>
  <si>
    <t xml:space="preserve">فراهم آوری تهسیلات جهت احداث 8 قطعه نمایشی گندم </t>
  </si>
  <si>
    <t xml:space="preserve">اعمار ( 3 ) باب آبگردان  یا چکدم در علفچر ها  برای مواشی </t>
  </si>
  <si>
    <t>در صورت بهبود امنیت پروژه آغاز میگردد</t>
  </si>
  <si>
    <t>احیآ مجدد 50 هکتار باغهای کهنه</t>
  </si>
  <si>
    <t>نصب سیستم چایله در 1 هکتار باغهای انگور</t>
  </si>
  <si>
    <t xml:space="preserve">اعمار و مدیریت آبریزه های کوچک بخاطر آبیاری 10 هکتارزمین للمی و بدون اب </t>
  </si>
  <si>
    <t>توزیع 2 پایه واترپمپ سولری برای آبیاری باغهای مثمر</t>
  </si>
  <si>
    <t>توزیع تلک های فیرامونی برای کنترول حشرات در 50 قطعات نمایشی باغها</t>
  </si>
  <si>
    <t>توزیع چسپ های فیرامونی برای کنترول حشرات در 100 قطعات نمایشی باغها</t>
  </si>
  <si>
    <t xml:space="preserve">توزیع تلک های دلتا برای جلوگیری از امراض و حشرات در 50 قطعات نمایشی باغها </t>
  </si>
  <si>
    <t>توزیع تخم سبزیجات برای 400 باب باغچه خانگی</t>
  </si>
  <si>
    <t xml:space="preserve">احیاء واعمار ذخایر استراتیژیک گندم </t>
  </si>
  <si>
    <t xml:space="preserve">فراهم آوری تهسیلات جهت احداث 12 قطعه نمایشی گندم </t>
  </si>
  <si>
    <t>احداث 130هکتار باغهای جدید درختان مثمر</t>
  </si>
  <si>
    <t>اعمار 5 باب ذخیره گاه خاکی آب باران</t>
  </si>
  <si>
    <t xml:space="preserve">اعمار و مدیریت آبریزه های کوچک بخاطر آبیاری 5 هکتارزمین للمی و بدون اب </t>
  </si>
  <si>
    <t>اعمار 5 باب چک دم های  کنترولی کوچک</t>
  </si>
  <si>
    <t>توزیع تخم پسته برای  احداث 20 هکتارباغهای جدید پسته</t>
  </si>
  <si>
    <t xml:space="preserve">توزیع هنگ و زیره برای کشت، بحیث نبات دومی در2 هکتار باغهای نو احداث شده پسته </t>
  </si>
  <si>
    <t>توزیع تخم سبزیجات برای 500باب باغچه خانگی</t>
  </si>
  <si>
    <t xml:space="preserve">توزیع 200 متریک تن تخم اصلاح شده گندم بذری </t>
  </si>
  <si>
    <t>ایجاد 3 مراکز خدمات برای دهاقین</t>
  </si>
  <si>
    <t>توزیع چسپ های فیرامونی برای کنترول حشرات در 200 قطعات نمایشی باغها</t>
  </si>
  <si>
    <t>باغچه های خانگی ومصونیت غذائی</t>
  </si>
  <si>
    <t xml:space="preserve">توزیع 180متریک تن تخم اصلاح شده گندم بذری </t>
  </si>
  <si>
    <t>ترینکوت، دهراود،  چوره،  خاص ارزگان،  شهد حساس،  چنارتو،  گیزاب</t>
  </si>
  <si>
    <t xml:space="preserve">• تعین ساحه وآماده کردن زمین جهت احداث کلیکسیون شکر پاره 
• تعین ساحه وآماده کردن زمین جهت احداث باغات متراکم وتجارتی 
• تهیه وخریداری نهال برای ایجاد کلیکسیون ، احداث باغات تجارتی و باغات نمایشی 
• توضیع وسایل جمع آوری،خشک کردن وبسته بندی 
• احیای باغات سابقه            
</t>
  </si>
  <si>
    <t>احیآ مجدد 80هکتار باغهای کهنه</t>
  </si>
  <si>
    <t>اعمار 30باب چک دم های  کنترولی کوچک</t>
  </si>
  <si>
    <t xml:space="preserve"> دایر کردن  360 جلسات آموزشی (مکتب دهقان در مزرعه) طبق فصل موسمی </t>
  </si>
  <si>
    <t>توزبع 8 بسته  وسایل باغداری برای کارمندان ترویج و دهاقین پیشقدم</t>
  </si>
  <si>
    <t xml:space="preserve">توزیع هنگ و زیره برای کشت، بحیث نبات دومی در2هکتار باغهای نو احداث شده پسته </t>
  </si>
  <si>
    <t xml:space="preserve">توزیع  100بسته از ادویه جات بیولوژیکی نباتی جهت کنترول آفات وامراض نباتی </t>
  </si>
  <si>
    <t xml:space="preserve"> ایجاد 2باب کلینیک سیار نباتی برای کنترول آفات وامراض نباتی</t>
  </si>
  <si>
    <t xml:space="preserve">توزیع تلک های دلتا برای جلوگیری از امراض و حشرات در 50قطعات نمایشی باغها </t>
  </si>
  <si>
    <t>اعمار 3200 باب سبزخانه کوچک برای تولید سبزیجات</t>
  </si>
  <si>
    <t>اعمار واحد های تولیدی کود عضوی برای باغچه های خانگی به تعداد 5باب</t>
  </si>
  <si>
    <t>ایجاد (   50  ) ذخیره گاه پیاز، ایجاد ذخیره گاه ( 5   ) کچالو، ایجاد (    2  ) سردخانه انرژی صفری  وتوزیع (   15  ) وسایل سولری خشک کنند میوه وسبزیجات</t>
  </si>
  <si>
    <t xml:space="preserve">تدویر کوس های آموزشی در بخش ماهی پروری </t>
  </si>
  <si>
    <t>مرکز</t>
  </si>
  <si>
    <t>احیآ مجدد 50هکتار باغهای کهنه</t>
  </si>
  <si>
    <t xml:space="preserve"> دایر کردن 4 جلسه ( کورس های آموزشی ) برای آموزش دهنده گان (مسولین ولایتی, مامورین ترویج و دهاقین پیشقدم) </t>
  </si>
  <si>
    <t>ایجاد8 صنف مکتب 
مزرعه دهاقین</t>
  </si>
  <si>
    <t>اعمار 5 باب  کشمش خانه یک طبقه ای</t>
  </si>
  <si>
    <t>زراعت، آبیاری ومالداری</t>
  </si>
  <si>
    <t xml:space="preserve">توزیع 500 متریک تن تخم اصلاح شده گندم بذری </t>
  </si>
  <si>
    <t>ایجاد (40) قطعه نمایشی پخته ومصارف کودکمیاوی وبسته های زراعتی</t>
  </si>
  <si>
    <t>فارم تحقیقاتی بولان ولسوالی لشکرگاه</t>
  </si>
  <si>
    <t xml:space="preserve">1-روغنیات برای آماده ساختن زمین توسط ماشین آلات زراعتی جهت کشت تجارب .
2- حفظ ،مراقبت وسایط و تجهیزات و زیربنا های فارم.
3-تهیه وخریداری سامان الات خورد وبزګ زراعتی (بیل،قیچی موزه وغیره ).
4-خریداری ادویه جات (آفتکش، قارچ کش، گیاه کش وکنه کشها) . 
5-کارگرروزمزد به اساس روز کاری (136)کار گر روز مزد درفی ماه بنابر ضرورت به تعداد مختلف در روزها کارمیکنند)  6- پرداخت فیس ماهوار انترنت برای یک عدد مودیم برای مامورین فارم جهت امورات رسمی                                                     
</t>
  </si>
  <si>
    <t xml:space="preserve">   دهشو، خانه نشین، گرم سیر، ناوه، مرجه، نادعلی، نهر سراج، گرشک، موسی قلعه، نوزاد، واشیر</t>
  </si>
  <si>
    <t xml:space="preserve">• آماده کردن زمین جهت احداث باغات تجارتی خرما    
• تهیه وخریداری نهال برای احداث باغات تجارتی خرما    
• ایجاد فارم تحقیقاتی وکلیکسیون ملی خرما    
• معاش کارمند ولایت هلمند   
• تجهیز دفتر ولایت هلمند   
• کرایه موتر دفتر هلمند
</t>
  </si>
  <si>
    <t>احداث 150 هکتار باغهای جدید درختان مثمر</t>
  </si>
  <si>
    <t>نصب سیستم چایله در 4 هکتار باغهای انگور</t>
  </si>
  <si>
    <t>اعمار 10 باب  کشمش خانه یک طبقه ای</t>
  </si>
  <si>
    <t xml:space="preserve"> دایر کردن  495 جلسات آموزشی (مکتب دهقان در مزرعه) طبق فصل موسمی </t>
  </si>
  <si>
    <t>توزیع تخم پسته برای  احداث 4هکتارباغهای جدید پسته</t>
  </si>
  <si>
    <t>پیوند کردن نهال های پسته در 5هکتار باغهای پسته</t>
  </si>
  <si>
    <t xml:space="preserve">توزیع بسته  های حمایوی برای 1040 تن مستفدین مالداری از طبقه ذکور و اناث </t>
  </si>
  <si>
    <t>احداث 50 هکتار باغهای جدید درختان مثمر</t>
  </si>
  <si>
    <t>توزیع تخم پسته برای  احداث 100 هکتارباغهای جدید پسته</t>
  </si>
  <si>
    <t xml:space="preserve">توزیع  50بسته از ادویه جات بیولوژیکی نباتی جهت کنترول آفات وامراض نباتی </t>
  </si>
  <si>
    <t>آموزش دهاقین که برای شان قطعه ایجاد گردیده ودهاقین همجوار زعفران کار مرد درزمینه تولید، وایجاد مکتب دهقانی</t>
  </si>
  <si>
    <t>توزیع  200 متریک تن  تخم گندم اصلاح شدۀ بذری</t>
  </si>
  <si>
    <t>احداث 80 هکتار باغهای جدید درختان مثمر</t>
  </si>
  <si>
    <t>احیآ مجدد 40هکتار باغهای کهنه</t>
  </si>
  <si>
    <t>توزبع 6 بسته  وسایل باغداری برای کارمندان ترویج و دهاقین پیشقدم</t>
  </si>
  <si>
    <t xml:space="preserve">توزیع هنگ و زیره برای کشت، بحیث نبات دومی در1 هکتار باغهای نو احداث شده پسته </t>
  </si>
  <si>
    <t>توزیع تخم سبزیجات برای 200باب باغچه خانگی</t>
  </si>
  <si>
    <t xml:space="preserve">توزیع 90 فرد گاو شیری با چوچه </t>
  </si>
  <si>
    <t>ایجاد4 صنف مکتب 
مزرعه دهاقین</t>
  </si>
  <si>
    <t>احیآ مجدد 10هکتار باغهای کهنه</t>
  </si>
  <si>
    <t>در سال بعدی در نظر گرفته میشود</t>
  </si>
  <si>
    <t xml:space="preserve">فراهم آوری تهسیلات جهت احداث 12قطعه نمایشی گندم </t>
  </si>
  <si>
    <t xml:space="preserve"> چاربرجک، چخانسور، زرنج و کنگ</t>
  </si>
  <si>
    <t xml:space="preserve">• آماده کردن زمین جهت احداث باغات تجارتی خرما    
• تهیه وخریداری نهال برای احداث باغات تجارتی خرما               
</t>
  </si>
  <si>
    <t>احداث 30 هکتار باغهای جدید درختان مثمر</t>
  </si>
  <si>
    <t xml:space="preserve"> دایر کردن  270جلسات آموزشی (مکتب دهقان در مزرعه) طبق فصل موسمی </t>
  </si>
  <si>
    <t>توزیع تخم پسته برای  احداث 5هکتارباغهای جدید پسته</t>
  </si>
  <si>
    <t>توزیع تلک های فیرامونی برای کنترول حشرات در 5 قطعات نمایشی باغها</t>
  </si>
  <si>
    <t xml:space="preserve">زرنج ، خاشرود کنگ و چخانسور </t>
  </si>
  <si>
    <t xml:space="preserve">ایجاد (   15  ) ذخیره گاه پیاز ،   ایجاد (   20  ) کشمش خانه های عصری </t>
  </si>
  <si>
    <t xml:space="preserve">احداث 10 قطعه نمایشی سایبین در کشت بهاری و تجلیل روز مزرعه </t>
  </si>
  <si>
    <t>کنترول امراض نباتی  (زمستانی و تابستانی ) در150جریب باغهای مثمر</t>
  </si>
  <si>
    <t>اعمار 50باب سبزخانه کوچک برای تولید سبزیجات</t>
  </si>
  <si>
    <t xml:space="preserve">توزیع 70متریک تن تخم اصلاح شده گندم بذری </t>
  </si>
  <si>
    <t xml:space="preserve">ایجاد فارم تکثیری ماهیان سرد آبی و گرم آبی </t>
  </si>
  <si>
    <t xml:space="preserve"> توزبع 20 بسته لوازم برای جمع اوری و بسته بندی محصولات باغها</t>
  </si>
  <si>
    <t xml:space="preserve"> دایر کردن  675جلسات آموزشی (مکتب دهقان در مزرعه) طبق فصل موسمی </t>
  </si>
  <si>
    <t>توزبع 7 بسته  وسایل باغداری برای کارمندان ترویج و دهاقین پیشقدم</t>
  </si>
  <si>
    <t>توزیع تخم سبزیجات برای 500 باب باغچه خانگی</t>
  </si>
  <si>
    <t>اعمار 2 باب سبزخانه بزگ برای تولید سبزیجات</t>
  </si>
  <si>
    <t>احداث 5واحد تولید سمارق</t>
  </si>
  <si>
    <t>ایجاد (  10   ) ذخیره گاه پیاز، ایجاد  (  50  ) ذخیره گاه  کچالو، ایجاد (   7   ) سردخانه انرژی صفری   وتوزیع (   10  ) وسایل سولری خشک کنند میوه وسبزیجات</t>
  </si>
  <si>
    <t>توزبع 28 بسته  وسایل باغداری برای کارمندان ترویج و دهاقین پیشقدم</t>
  </si>
  <si>
    <t>اعمار ذخیره 3 باب آبگردان یا چکدم در علفچر ها برای مواشی</t>
  </si>
  <si>
    <t>ایجاد (15) قطعات نمونوی استندرد زعفران وتوزیع کود تقویتی برای قطعات نمایشی</t>
  </si>
  <si>
    <t>نصب سیستم چایله در 3هکتار باغهای انگور</t>
  </si>
  <si>
    <t xml:space="preserve">باغچه های خانگی ومصونیت غذائی </t>
  </si>
  <si>
    <t>توزیع تخم سبزیجات برای 600 باب باغچه خانگی</t>
  </si>
  <si>
    <t xml:space="preserve">احداث 2 هکتار باغهای متراکم و نیمه متراکم </t>
  </si>
  <si>
    <t xml:space="preserve"> دایر کردن  765 جلسات آموزشی (مکتب دهقان در مزرعه) طبق فصل موسمی </t>
  </si>
  <si>
    <t>توزبع 27 بسته  وسایل باغداری برای کارمندان ترویج و دهاقین پیشقدم</t>
  </si>
  <si>
    <t xml:space="preserve"> ایجاد 3 باب کلینیک سیار نباتی برای کنترول آفات وامراض نباتی</t>
  </si>
  <si>
    <t>احیای مجدد یک باب فارم نسلگیری گوسفند و بز</t>
  </si>
  <si>
    <t>احیآ مجدد 80 هکتار باغهای کهنه</t>
  </si>
  <si>
    <t xml:space="preserve"> دایر کردن  1710 جلسات آموزشی (مکتب دهقان در مزرعه) طبق فصل موسمی </t>
  </si>
  <si>
    <t>توزبع 49  بسته  وسایل باغداری برای کارمندان ترویج و دهاقین پیشقدم</t>
  </si>
  <si>
    <t>پیوند کردن نهال های پسته در 20 هکتار باغهای پسته</t>
  </si>
  <si>
    <t xml:space="preserve">توزیع  250  بسته از ادویه جات بیولوژیکی نباتی جهت کنترول آفات وامراض نباتی </t>
  </si>
  <si>
    <t xml:space="preserve">پرداخت  فیس واکسین برای VFUs ( کلینیک های ساحوی وترنری ) بخاطراشتراک در کمپاین تطبیق واکسین بروسلوز برای حیوانات بزرگ </t>
  </si>
  <si>
    <t xml:space="preserve">پرداخت  فیس واکسین برای VFUs ( کلینیک های ساحوی وترنری ) بخاطراشتراک در کمپاین تطبیق واکسین بروسلوز برای حیوانات کوچک </t>
  </si>
  <si>
    <t>خریداری 4 تن مواد خوراکه فارم قره قل</t>
  </si>
  <si>
    <t xml:space="preserve">توزیع 100 بسته از ادویه جات بیولوژیکی نباتی جهت کنترول آفات وامراض نباتی </t>
  </si>
  <si>
    <t>خریداری 30000 دوز واکسین بروسلوز برای حیوانات بزرگ</t>
  </si>
  <si>
    <t>خریداری  200000 دوز واکسین بروسلوز برای حیوانات کوچک ( گوسفند و بزها )</t>
  </si>
  <si>
    <t xml:space="preserve">توزیع لوازم واکسین، مواد آگاهی دهی و تطبیق کمپاین و تست موثریت واکسین بعد از تطبیق ونظارت از کورسهای آموزشی برای VFUs/PVOs در 13 ولسوالی  </t>
  </si>
  <si>
    <t xml:space="preserve">پرداخت فیس واکسین برای VFUs ( کلینیک های ساحوی وترنری ) بخاطراشتراک در کمپاین تطبیق واکسین بروسلوز برای حیوانات کوچک </t>
  </si>
  <si>
    <t>قرارداد با 9 باب کلینیک های ساحوی وترنری (VFUs)  برای برنامه تعهدات صحی ( دایر کردن کورسها، تهیه بسته های آموزشی DRSF, LSF و جمع آوری بسته سمپل ها و پرداخت هزینه ترانسپورت برای انتقال سمپل ها به اداره ولایتی)، وهمچنین پرداخت مصارف تیلفونی کارمندان دولتی (PVOs )</t>
  </si>
  <si>
    <t>تهیه 60000 چوچه ماهی برای فارم های ماهی پروری خصوصی که از قبل اعمار گردیده است</t>
  </si>
  <si>
    <t>توزیع بسته  های حمایوی برای 1040 تن مستفدین مالداری از طبقه ذکور و اناث</t>
  </si>
  <si>
    <t xml:space="preserve">اعمار قطن برای نگهداری حیوانات در موقع زایمان مواشی </t>
  </si>
  <si>
    <t>ایجاد4صنف مکتب 
مزرعه دهاقین</t>
  </si>
  <si>
    <t xml:space="preserve">ایجاد (   150  ) ذخیره گاه پیاز، ایجاد  (  20  )  ذخیره گاه کچالو، ایجاد (    2  ) سردخانه انرژی صفری  ایجاد (    150 ) کشمش خانه های عصری وتوزیع (   15  ) وسایل سولری خشک کنند میوه وسبزیجات </t>
  </si>
  <si>
    <t>ایجاد (20) قطعه نمایشی پخته ومصارف کودکمیاوی وبسته های زراعتی</t>
  </si>
  <si>
    <t>اعمار 3 باب ذخیره گاه خاکی آب باران</t>
  </si>
  <si>
    <t>احداث 5 قطعات نمایشی  زعفران ( که فی قطعه دارای 1000m2 مساحت میباشد)</t>
  </si>
  <si>
    <t xml:space="preserve">توزیع لوازم واکسین، مواد آگاهی دهی و تطبیق کمپاین و تست موثریت واکسین بعد از تطبیق ونظارت از کورسهای آموزشی برای VFUs/PVOs در 7 ولسوالی  </t>
  </si>
  <si>
    <t>زراعت ،آبیاری ومالداری</t>
  </si>
  <si>
    <t>توزیع  210 متریک تن  تخم گندم اصلاح شدۀ بذری</t>
  </si>
  <si>
    <t>مشکلات بودجوی وامنیتی  در ساحه تطیق پروژه</t>
  </si>
  <si>
    <t>در صورت دریافت بودجه و بهبود امنیت پروژه آغاز میگردد</t>
  </si>
  <si>
    <t>احیآ مجدد 15 هکتار باغهای کهنه</t>
  </si>
  <si>
    <t>اعمار 18 باب ذخیره گاه خاکی آب باران</t>
  </si>
  <si>
    <t>اعمار20 باب چک دم های  کنترولی کوچک</t>
  </si>
  <si>
    <t xml:space="preserve"> دایر کردن 1170 جلسات آموزشی (مکتب دهقان در مزرعه) طبق فصل موسمی </t>
  </si>
  <si>
    <t xml:space="preserve">توزیع هنگ و زیره برای کشت، بحیث نبات دومی در10 هکتار باغهای نو احداث شده پسته </t>
  </si>
  <si>
    <t>خریداری 24000 دوز واکسین بروسلوز برای حیوانات بزرگ</t>
  </si>
  <si>
    <t>خریداری  140000 دوز واکسین بروسلوز برای حیوانات کوچک ( گوسفند و بزها )</t>
  </si>
  <si>
    <t>ایجاد (   80  ) ذخیره گاه پیاز، ایجاد  (   110 ) ذخیره گا ه کچالو، ایجاد (   11  ) سردخانه انرژی صفری  اوتوزیع (     50) وسایل سولری خشک کنند میوه وسبزیجات</t>
  </si>
  <si>
    <t>اعمار تعمیر انستیتوت تحقیقات زعفران</t>
  </si>
  <si>
    <t>توزیع  500 متریک تن  تخم گندم اصلاح شدۀ بذری</t>
  </si>
  <si>
    <t>فراهم آوری تهسیلات جهت احداث 18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</si>
  <si>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تطبیق واکسین تب کانگو</t>
  </si>
  <si>
    <t>اعمار ذخیره 3  باب آبگردان یا چکدم در علفچر ها برای مواشی</t>
  </si>
  <si>
    <t>مشکلات بودجوی وامنیتی در ساحه تطبیق پروژه</t>
  </si>
  <si>
    <t>در صورت دریافت بودجه  وبهبود امنیت پروژه آغاز میگردد</t>
  </si>
  <si>
    <t xml:space="preserve">پول آن برای فارم مرغدای بگرامی انتقال شده </t>
  </si>
  <si>
    <t>احداث 200 هکتار باغهای جدید درختان مثمر</t>
  </si>
  <si>
    <t>نصب سیستم چیله در 4 هکتار باغهای انگور</t>
  </si>
  <si>
    <t>اعمار 150 باب  کشمش خانه یک طبقه ای</t>
  </si>
  <si>
    <t xml:space="preserve"> دایر کردن  1620 جلسات آموزشی (مکتب دهقان در مزرعه) طبق فصل موسمی </t>
  </si>
  <si>
    <t>توزبع 36 بسته  وسایل باغداری برای کارمندان ترویج و دهاقین پیشقدم</t>
  </si>
  <si>
    <t>پیوند کردن نهال های پسته در 35 هکتار باغهای پسته</t>
  </si>
  <si>
    <t>توزیع 3 بسته از لوازم پروسیس سبزیجات برای دهاقین طبقه اناث</t>
  </si>
  <si>
    <t>احداث 200 قطعات نمایشی  زعفران ( که فی قطعه دارای 1000m2 مساحت میباشد)</t>
  </si>
  <si>
    <t xml:space="preserve">قرارداد با 19 باب VFUs ( واحد های ساحوی وترنری ) برای انجام دادن خدمات ترویجی مالداری  (دایرکردن کورسهای اموزشی برای دهاقین ذکور) </t>
  </si>
  <si>
    <t>قرارداد با 38 تن نماینده  گان  ترویجی از طبقه اناث برای انجام دادن خدمات ترویجی مالداری (دایر نمودن کورسهای اموزشی برای دهاقین اناث)</t>
  </si>
  <si>
    <t xml:space="preserve">انجیل ، گذره ، زنده جان و کرخ </t>
  </si>
  <si>
    <t xml:space="preserve">توزیع بسته  های حمایوی برای 2470 تن مستفدین مالداری از طبقه ذکور و اناث </t>
  </si>
  <si>
    <t xml:space="preserve">فارم تحقیقاتی اردوخان ولسوالی انجیل </t>
  </si>
  <si>
    <t xml:space="preserve">1-تهیه وخریداری لوازم ، و وسایل زراعتی شامل (بیل؛ کلند، ستل، رمبه، داس ،لباس کار،و غیره ).
2-خریداری ادویجات کمیاوی ( آفت کش ،حشره کش، گیاه کش، قارچ کشها) .
3- تهیه وخریداری کود کیمیاوی (دی ای پی و یوریا) .
4- پرداخت فیس ماهانه انتر نت برای سه مودیم جهت استفاده مامورین در امورات رسمی  . 
5- استخدام کارگرروزمزد به اساس ۲۶روز کاری(۲۱۴نفر) در فی ماه وبه تعدد مختلف درصورت نیاز درروزکارمینمایند.                           بخش باغداری
6-تهیه وخریداری روغنیات (دیزل، پطرول، ومبلایل).
7- حفظ و مراقبت، ماشین آلات زارعتی، موتر و زیربناهای فارم.
8- تهیه وخریداری کود کیمیاوی (دی ای پی و یوریا)  . 
9-تهیه وخریداری انبارحیوانی  .     
10- تهیه و سایل کار (اره، قیچی،بیل، کلند، موزه، تبر،کارتن ) وغیره .
11-پرداخت فیس ماهانه انتر نت برای یک مودیم جهت استفاده مامورین در امورات رسمی  .
12- استخدام کارگرروزمزد به اساس ۲۶روز کاری(100نفر) در فی ماه وبه تعدد مختلف درصورت نیاز درروزکارمینمایند  . 
</t>
  </si>
  <si>
    <t xml:space="preserve">ایجاد (    420 ) ذخیره گاه پیاز، ایجاد (   5 ) ذخیره گاه کچالو،  ایجاد (   1021 ) کشمش خانه های عصری </t>
  </si>
  <si>
    <t xml:space="preserve">توزیع 250 متریک تن تخم اصلاح شده گندم بذری </t>
  </si>
  <si>
    <t xml:space="preserve">اعمار قطن برای نگهداری حیوانات در مواقع زایمان حیوانات </t>
  </si>
  <si>
    <t xml:space="preserve">تطبیق گردیده </t>
  </si>
  <si>
    <t>اعمار 3 باب چک دم های  کنترولی کوچک</t>
  </si>
  <si>
    <t xml:space="preserve"> دایر کردن  810 جلسات آموزشی (مکتب دهقان در مزرعه) طبق فصل موسمی </t>
  </si>
  <si>
    <t xml:space="preserve">در حال  جریان است </t>
  </si>
  <si>
    <t>توزیع تلک های پیرامونی برای کنترول حشرات در 50 قطعات نمایشی باغها</t>
  </si>
  <si>
    <t>خریداری 40000 دوز واکسین بروسلوز برای حیوانات بزرگ</t>
  </si>
  <si>
    <t>خریداری (200000) ملیون دوز واکسین بروسلوز برای حیوانات کوچک ( گوسفند و بزها )</t>
  </si>
  <si>
    <t xml:space="preserve">پرداخت 400000 افغانی فیس واکسین برای VFUs ( کلینیک های ساحوی وترنری ) بخاطراشتراک در کمپاین تطبیق واکسین بروسلوز برای حیوانات بزرگ </t>
  </si>
  <si>
    <t xml:space="preserve">پرداخت 1000000افغانی فیس واکسین برای VFUs ( کلینیک های ساحوی وترنری ) بخاطراشتراک در کمپاین تطبیق واکسین بروسلوز برای حیوانات کوچک </t>
  </si>
  <si>
    <t xml:space="preserve">قرارداد با 13باب VFUs ( واحد های ساحوی وترنری ) برای انجام دادن خدمات ترویجی مالداری  (دایرکردن کورسهای اموزشی برای دهاقین ذکور) </t>
  </si>
  <si>
    <t xml:space="preserve">ایجاد (   10  ) ذخیره گاه پیاز، ایجاد (   150 ) ذخیره گاه  کچالو،   ایجاد (    300 ) کشمش خانه های عصری وتوزیع (   50  ) وسایل سولری خشک کنند میوه وسبزیجات </t>
  </si>
  <si>
    <t>برنامه ملی تنظیم منابع طبیعی به اشتراک جامعه</t>
  </si>
  <si>
    <t>شناسایی و ایجاد تعداد (4 ) انجمن علفچرها و نباتات طبی  ، تعداد (2) اتحادیه  و تثبیت (400) هکتار ساحه برای تطبیق پروژه در (1) ولایت  .</t>
  </si>
  <si>
    <t>تهیه امکانات برای نظارت از فعالیت های تطبیق شده پروژه از (12) ساحه در 1 ولایت تحت پلان</t>
  </si>
  <si>
    <t>در صورت حل مشکل بودجه این فعالیت در آینده تطبیق خواهد شد</t>
  </si>
  <si>
    <t>فعالیت متذکره بدون مصرف بودجه توسط کارمندان تخنیکی ومسلکی وزارت عملی میگردد</t>
  </si>
  <si>
    <t xml:space="preserve">بودجه این فعالیت در بخش پروژه مدیریت محصولات زراعتی بمنظور تسریع بخشید پروسس وتولید محصولات زراعتی تعدیل گردیده است </t>
  </si>
  <si>
    <t xml:space="preserve">تکمیل گردیده </t>
  </si>
  <si>
    <t>ایجاد (16) قطعات نمونوی استندرد زعفران وتوزیع کود تقویتی برای قطعات نمایشی</t>
  </si>
  <si>
    <t xml:space="preserve">تکیمل گردیده </t>
  </si>
  <si>
    <t xml:space="preserve">تکمیل شده </t>
  </si>
  <si>
    <t>درسطح ولایت</t>
  </si>
  <si>
    <t xml:space="preserve">فراهم آوری تهسیلات جهت احداث 14قطعه نمایشی گندم </t>
  </si>
  <si>
    <t xml:space="preserve">توزیع 326 متریک تن تخم اصلاح شده گندم بذری </t>
  </si>
  <si>
    <t>مشکلات بودجه</t>
  </si>
  <si>
    <t>در صورت حل مشکل بودجه پروژه آغاز میگردد</t>
  </si>
  <si>
    <t xml:space="preserve">ولسوالی های کجران ونیلی </t>
  </si>
  <si>
    <t>6 ولسوالی</t>
  </si>
  <si>
    <t>ایجاد (39) قطعات نمونوی استندرد زعفران وتوزیع کود تقویتی برای قطعات نمایشی</t>
  </si>
  <si>
    <t xml:space="preserve">اعمار (  3) باب آبگردان  یا چکدم در علفچر ها  برای مواشی </t>
  </si>
  <si>
    <t>مشکلات امنیتی</t>
  </si>
  <si>
    <t>درصورت بهبود امنیت در ساحه تطبیق پروژه آغاز میگردد</t>
  </si>
  <si>
    <t xml:space="preserve">8 ولسوالی </t>
  </si>
  <si>
    <t>8 ولسوالی</t>
  </si>
  <si>
    <t xml:space="preserve">احداث 2  هکتار باغهای متراکم و نیمه متراکم </t>
  </si>
  <si>
    <t xml:space="preserve"> توزبع 30بسته لوازم برای جمع اوری و بسته بندی محصولات باغها</t>
  </si>
  <si>
    <t>احداث 100 هکتار باغهای جدید درختان مثمر</t>
  </si>
  <si>
    <t>احیآ مجدد 100هکتار باغهای کهنه</t>
  </si>
  <si>
    <t xml:space="preserve">اعمار و مدیریت آبریزه های کوچک بخاطر آبیاری 5هکتارزمین للمی و بدون اب </t>
  </si>
  <si>
    <t xml:space="preserve">بودجه این فعالیت در بخش پروژه مدیریت محصولات زراعتی به منظور تسریع بخشیدن پروسس و تولیدمحصولات زراعتی تعدیل گردیده است </t>
  </si>
  <si>
    <t>اعمار 2 باب چک دم های  کنترولی کوچک</t>
  </si>
  <si>
    <t xml:space="preserve"> دایر کردن  540جلسات آموزشی (مکتب دهقان در مزرعه) طبق فصل موسمی </t>
  </si>
  <si>
    <t>توزبع 22 بسته  وسایل باغداری برای کارمندان ترویج و دهاقین پیشقدم</t>
  </si>
  <si>
    <t xml:space="preserve">  توزیع 100 بسته از لباس محافظوی و وسایل ادویه پاشی برای جلوگیری از تاثیرات منفی ادویه جات کیمیاوی</t>
  </si>
  <si>
    <t>2 ولسوالی</t>
  </si>
  <si>
    <t>توزیع تخم سبزیجات برای 600باب باغچه خانگی</t>
  </si>
  <si>
    <t>اعمار 5 باب سبزخانه بزگ برای تولید سبزیجات</t>
  </si>
  <si>
    <t>احداث 30 قطعات نمایشی  زعفران ( که فی قطعه دارای 1000m2 مساحت میباشد)</t>
  </si>
  <si>
    <t>احداث 3 واحد تولید سمارق</t>
  </si>
  <si>
    <t xml:space="preserve">توزیع بسته  های حمایوی برای 1040 تن مستفدین مالداری از طبقه ذکور 
توزیع بسته  های حمایوی برای 20000 تن مستفدین مالداری از طبقه اناث </t>
  </si>
  <si>
    <t>مجادله علیه کنه های ، شپشک ها ی نباتی، مور پتدار،ملخ ، گیاه هرزه،،یوریا اسپری، لایم سلفر،موش .</t>
  </si>
  <si>
    <t>مشکل بودجه</t>
  </si>
  <si>
    <t>7 ولسوالی</t>
  </si>
  <si>
    <t xml:space="preserve">ایجاد (  50   ) ذخیره گاه پیاز، ایجاد  (  200  ) ذخیره گاه کچالو، ایجاد (    21  ) سردخانه انرژی صفری   </t>
  </si>
  <si>
    <t>ایجاد (    226 ) ذخیره گاه پیاز، ایجاد (    53 ) کشمش خانه های عصری وتوزیع (     20) وسایل سولری خشک کنند میوه وسبزیجات</t>
  </si>
  <si>
    <t xml:space="preserve">متوقف  است </t>
  </si>
  <si>
    <t>اعمار یک باب گدام 5000تنه ذخایر با ملحقات آن که شامل (احاطه دیوار ،دوباب اتاق اداری معه یک باب تشناب وچاه سپتیک وحفریک حلقه چاه عمیق در ولایت فراه.</t>
  </si>
  <si>
    <t xml:space="preserve"> برنامه رشد زراعت، و انکشاف روستائی CBARD</t>
  </si>
  <si>
    <t>56800$</t>
  </si>
  <si>
    <t xml:space="preserve">در سال بعد تطبیق خواهد گردید </t>
  </si>
  <si>
    <t>162500$</t>
  </si>
  <si>
    <t>تکمیل گردیده است</t>
  </si>
  <si>
    <t>180000$</t>
  </si>
  <si>
    <t>.</t>
  </si>
  <si>
    <t>ایجاد4 صنف مکتب 
مزرعه دهاقین ،ایجادیک صنف مکتب مزرعه دهاقین برای خانم ها</t>
  </si>
  <si>
    <t>در مرکز</t>
  </si>
  <si>
    <t>مجادله علیه کنه های نباتی، شپشک های نباتی،مگس خربوزه ،گیاه هرزه،،یوریا اسپری، موش ، کرم قطع کننده سبزیجات.</t>
  </si>
  <si>
    <t xml:space="preserve">توزیع بسته  های حمایوی برای 650تن مستفدین مالداری از طبقه ذکور </t>
  </si>
  <si>
    <t>در مرکز و ولسوالی بالابلوک</t>
  </si>
  <si>
    <t>قرارداد با 10 تن نماینده  گان  ترویجی از طبقه اناث برای انجام دادن خدمات ترویجی مالداری (دایر نمودن کورسهای اموزشی برای دهاقین اناث)</t>
  </si>
  <si>
    <t>مرکز و ولسوالی شیبکوه</t>
  </si>
  <si>
    <t xml:space="preserve">قرارداد با 5 باب VFUs ( واحد های ساحوی وترنری ) برای انجام دادن خدمات ترویجی مالداری  (دایرکردن کورسهای اموزشی برای دهاقین ذکور) </t>
  </si>
  <si>
    <t xml:space="preserve">توزیع  4900 بسته از ادویه جات بیولوژیکی نباتی جهت کنترول آفات وامراض نباتی </t>
  </si>
  <si>
    <t>توزیع تخم پسته برای  احداث 50هکتارباغهای جدید پسته</t>
  </si>
  <si>
    <t xml:space="preserve"> دایر کردن  312جلسات آموزشی (مکتب دهقان در مزرعه) طبق فصل موسمی </t>
  </si>
  <si>
    <t>تکمیل</t>
  </si>
  <si>
    <t>احداث 75 هکتار باغهای جدید درختان مثمر</t>
  </si>
  <si>
    <t>در مرکز و تمام ولسوالیها</t>
  </si>
  <si>
    <t xml:space="preserve">در حال اجرا است </t>
  </si>
  <si>
    <t xml:space="preserve">توزیع 315 متریک تن تخم اصلاح شده گندم بذری </t>
  </si>
  <si>
    <t xml:space="preserve">فراهم آوری تهسیلات جهت احداث 14 قطعه نمایشی گندم </t>
  </si>
  <si>
    <t>توزیع قطعات نمایشی شرشم و برگزاری وکشاپ آموزشی برای مستفیدین</t>
  </si>
  <si>
    <t>توسعه کشت نباتات تیلی</t>
  </si>
  <si>
    <t>موقعیت (ولسوالی/ قریه )</t>
  </si>
  <si>
    <t>بانک انکشاف آسیایی</t>
  </si>
  <si>
    <t xml:space="preserve"> ایجاد لابراتوار کشت انساج</t>
  </si>
  <si>
    <t>ایجاد لابراتوار تعین کیفیت</t>
  </si>
  <si>
    <t xml:space="preserve"> ایجاد اتاق پروسس</t>
  </si>
  <si>
    <t xml:space="preserve"> ایجاد مراکز بسته بندی</t>
  </si>
  <si>
    <t>اعمار سردخانه ها</t>
  </si>
  <si>
    <t>قیمت تمام فعالیت ها به حجم فعالیت بستگی دارد که حد اقل دو ملیون دالر قیمت خواهد داشت و به اساس خواست متشبثین زراعتی تعین میگردد</t>
  </si>
  <si>
    <t>اعمار سرد خانه های اولیه</t>
  </si>
  <si>
    <t xml:space="preserve">توزیع 28 پایه خشکن آفتابی </t>
  </si>
  <si>
    <t>ایجاد 6 صنف مکتب 
مزرعه دهاقین</t>
  </si>
  <si>
    <t>مبارزه علیه امراض
 وآفات نباتی</t>
  </si>
  <si>
    <t>۳ ولسوالی</t>
  </si>
  <si>
    <t>ایجاد (    50 ) ذخیره گاه پیاز، ایجاد  (   80 ) ذخیره گاه  کچالو، ایجاد (    33  ) سردخانه انرژی صفری  ایجاد (   50  ) کشمش خانه های عصری وتوزیع (  30   ) وسایل سولری خشک کنند میوه وسبزیجات</t>
  </si>
  <si>
    <t xml:space="preserve">توزیع بسته  های حمایوی برای 1690 تن مستفدین مالداری از طبقه ذکور </t>
  </si>
  <si>
    <t xml:space="preserve">قرارداد با 13 باب VFUs ( واحد های ساحوی وترنری ) برای انجام دادن خدمات ترویجی مالداری  (دایرکردن کورسهای اموزشی برای دهاقین ذکور) </t>
  </si>
  <si>
    <t xml:space="preserve">توزیع بسته های مرغهای گوشتی 5,000 قطعه ای برای 5 نفرسرمایه گذار </t>
  </si>
  <si>
    <t>احداث 20 قطعات نمایشی  زعفران ( که فی قطعه دارای 1000m2 مساحت میباشد)</t>
  </si>
  <si>
    <t>اعمار واحد های تولیدی کود عضوی برای باغچه های خانگی به تعداد 20باب</t>
  </si>
  <si>
    <t>توزیع 4 بسته از لوازم پروسیس سبزیجات برای دهاقین طبقه اناث</t>
  </si>
  <si>
    <t xml:space="preserve">  توزیع 300بسته از لباس محافظوی و وسایل ادویه پاشی برای جلوگیری از تاثیرات منفی ادویه جات کیمیاوی</t>
  </si>
  <si>
    <t xml:space="preserve">توزیع  200 بسته از ادویه جات بیولوژیکی نباتی جهت کنترول آفات وامراض نباتی </t>
  </si>
  <si>
    <t>توزبع 14 بسته  وسایل باغداری برای کارمندان ترویج و دهاقین پیشقدم</t>
  </si>
  <si>
    <t>ایجاد 2مراکز خدمات برای دهاقین</t>
  </si>
  <si>
    <t xml:space="preserve"> دایر کردن  630جلسات آموزشی (مکتب دهقان در مزرعه) طبق فصل موسمی </t>
  </si>
  <si>
    <t xml:space="preserve">ساخت (1 ) باب سیلوی سایلج به ظرفیت  5 متریک تن و ترویج ان غرض بهبود تغذیه </t>
  </si>
  <si>
    <t xml:space="preserve">توزیع 140متریک تن تخم اصلاح شده گندم بذری </t>
  </si>
  <si>
    <t xml:space="preserve">خریداری 455 بسته های باغداری </t>
  </si>
  <si>
    <t xml:space="preserve">تهیه و خریداری 7 متریک تن خوراکه حیوانی برای مالداران </t>
  </si>
  <si>
    <t xml:space="preserve">حمایت از قوریه جات و ترتیب برنامه های آموزشی در بخش قوریه برای 26 گروپ دهاقین </t>
  </si>
  <si>
    <t xml:space="preserve">ترمیم و تجهیز مراکز اموزش و معلومات، حمایت زراعت الکترونیکی و احداث 3 باب سبزخانه ها زراعتی </t>
  </si>
  <si>
    <t xml:space="preserve">تهیه و خریداری 6 عراده موتر سایکل </t>
  </si>
  <si>
    <t xml:space="preserve">تهیه و خریداری بسته های باغداری برای 820 خانواده </t>
  </si>
  <si>
    <t xml:space="preserve">تهیه کود کیمیاوی و تخم های بذری اصلاح شده برای 554 خانواده </t>
  </si>
  <si>
    <t xml:space="preserve">تهیه 1 کلیپ ویدیو برای دهاقین و مالداران </t>
  </si>
  <si>
    <t xml:space="preserve">برنامه اموزشی للمی و ابی برای 24 دهقان </t>
  </si>
  <si>
    <t>حمایت از برنامه اموزشی حرفوی برای 2 جوانان</t>
  </si>
  <si>
    <t xml:space="preserve">ارتقا ظرفیت برای 40 گروپ های دهاقین </t>
  </si>
  <si>
    <t xml:space="preserve">آموزش برای 35 باغدار در بخش باغداری </t>
  </si>
  <si>
    <t xml:space="preserve">آموزش برای 158 کارمندان و دهاقین </t>
  </si>
  <si>
    <t>مشکلات بودجوی و امنیتی در ساحه تطبیق پروژه</t>
  </si>
  <si>
    <t xml:space="preserve">1-روغنیات برای آماده ساختن زمین توسط ماشین آلات زراعتی جهت کشت تجارب .
2- خریداری ضروریات تجارب تحقیقاتی وبریدر(تک، ترازو، خریطه سانی، وسایروسایل زراعتی) .
3- تهیه وخریداری کود کیمیاوی (دی ای پی و یوریا) .
4- تهیه وخریداری ادویجات (حشره کش، قارچ کش وگیاه کش ها)مورد ضرورت فارم .  . 
5-استخدام کارگرروزمزد به اساس روزکاری دریک ماه 193نفرازقرار۲۶روزکاری درماه                          
6- فیس انتر نت برای 3 نفر.                                                     
</t>
  </si>
  <si>
    <t>فارم تحقیقاتی پوزه ایشان بغلان  بغلان مرکزی</t>
  </si>
  <si>
    <t xml:space="preserve">دوشی و پلخمری </t>
  </si>
  <si>
    <t xml:space="preserve">توزیع لوازم واکسین، مواد آگاهی دهی و تطبیق کمپاین و تست موثریت واکسین بعد از تطبیق ونظارت از کورسهای آموزشی برای VFUs/PVOs در 17 ولسوالی  </t>
  </si>
  <si>
    <t>خریداری  150000 دوز واکسین بروسلوز برای حیوانات کوچک ( گوسفند و بزها )</t>
  </si>
  <si>
    <t>خریداری30000 دوز واکسین بروسلوز برای حیوانات بزرگ</t>
  </si>
  <si>
    <t>توزیع تخم سبزیجات برای 800 باب باغچه خانگی</t>
  </si>
  <si>
    <t xml:space="preserve">توزیع  250 بسته از ادویه جات بیولوژیکی نباتی جهت کنترول آفات وامراض نباتی </t>
  </si>
  <si>
    <t>پیوند کردن نهال های پسته در 15 هکتار باغهای پسته</t>
  </si>
  <si>
    <t xml:space="preserve">توزیع هنگ و زیره برای کشت، بحیث نبات دومی در 2 هکتار باغهای نو احداث شده پسته </t>
  </si>
  <si>
    <t>توزیع 5 پایه واترپمپ سولری برای آبیاری باغهای مثمر</t>
  </si>
  <si>
    <t>احیآ مجدد  70 هکتار باغهای کهنه</t>
  </si>
  <si>
    <t>احداث 130 هکتار باغهای جدید درختان مثمر</t>
  </si>
  <si>
    <t xml:space="preserve">احداث 3  هکتار باغهای متراکم و نیمه متراکم </t>
  </si>
  <si>
    <t>توزیع  350 متریک تن  تخم گندم اصلاح شدۀ بذری</t>
  </si>
  <si>
    <t>آموزش دهاقین که برای شان قطعه ایجاد گردیده ودهاقین همجوار زعفران کار مرد درزمینه تولید، وایجادمکتب دهقانی</t>
  </si>
  <si>
    <t>موقعیت(ولسوالی/قریه)</t>
  </si>
  <si>
    <t xml:space="preserve">توزیع 12 قرضه های زراعتی و مالداری برای دهاقین و مالداران </t>
  </si>
  <si>
    <t xml:space="preserve">تدویر کورس های اموزشی برای 60 مالدار </t>
  </si>
  <si>
    <t xml:space="preserve">حمایت وآموزش برای40 زنان زراعت پیشه </t>
  </si>
  <si>
    <t xml:space="preserve">آموزش برای 37 کارمندان در بخش زراعت آبی 
</t>
  </si>
  <si>
    <t xml:space="preserve">احیا و بازسازی آبگیر و شبکه آبیاری قلعه نو  </t>
  </si>
  <si>
    <t xml:space="preserve">احیا و بازسازی شبکه آبیاری گرند آب </t>
  </si>
  <si>
    <t>احیا و بازسازی شبکه آبیاری گردنه مزار</t>
  </si>
  <si>
    <t xml:space="preserve">احیا و بازسازی شبکه آبیاری غلام علی </t>
  </si>
  <si>
    <t>حمایت تخنیکی و فراهم نمودن تسهیلات در ساحات تحت پوشش برای 30 نفر</t>
  </si>
  <si>
    <t>تکمیل گردیده .</t>
  </si>
  <si>
    <t>بازاریابی برای محصولات حیوانی کوچی ها برای 111 راس گوسفند</t>
  </si>
  <si>
    <t xml:space="preserve">حمایت تخنیکی در مورد بدست آوردن محصولات حیوانی با کیفیت برای 30 نفر
</t>
  </si>
  <si>
    <t xml:space="preserve"> ارتقاء سطح آگاهی کوچیان مالدار از طریق عرضه خدمات توسعوی و ترویجی در موارد مختلف مالداری به ویژه خوراکه حیوانی برای 802 نفر</t>
  </si>
  <si>
    <t xml:space="preserve"> بهبود سیستم و دسترسی کوچی ها به عرضه خدمات صحت حیوانی با کیفیت برای 17 نفر</t>
  </si>
  <si>
    <t>تدویر کورس های آموزشی جهت بلند بردن ظرفیت مالداران، کارمندان پروژه و مارمورین ذیدخل وزارت 1050 نفر</t>
  </si>
  <si>
    <t>خریداری سمین استرا جهت تلقیح گاوها شیری برای 1668 راس گاو</t>
  </si>
  <si>
    <t xml:space="preserve">بازسازی کانال شوخک </t>
  </si>
  <si>
    <t>بازسازی حوض شغال کنده</t>
  </si>
  <si>
    <t xml:space="preserve">بازسازی کانال قلعه دشت حاجی ها </t>
  </si>
  <si>
    <t xml:space="preserve">بازسازی کانال قلعه گلی </t>
  </si>
  <si>
    <t>بازسازی کانال قلعه سردار</t>
  </si>
  <si>
    <t xml:space="preserve">ایجاد8 صنف مکتب 
مزرعه دهاقین
ایجادیک صنف مکتب مزرعه دهاقین برای خانم ها </t>
  </si>
  <si>
    <t>ریس زراعت ولایت</t>
  </si>
  <si>
    <t>مجادله علیه خاکسترک تاک ،ججلداغ تاک،شپشک های نباتی،مورپتدار ،ملخ ،گیاه هرزه،،یوریا اسپری، لایم سلفر ،کرم قطع کننده سبزیجات ، کرم نقب زن برگ خواربادینجان رومی ،موش .</t>
  </si>
  <si>
    <t xml:space="preserve">ایجاد (  200   ) ذخیره گاه پیاز، ایجاد  (   35 ) ذخیره گاه  کچالو، ایجاد (  12 ) سردخانه انرژی صفری  ایجاد (  154   ) کشمش خانه های عصری وتوزیع (    30 ) وسایل سولری خشک کنند میوه وسبزیجات </t>
  </si>
  <si>
    <t xml:space="preserve">1-روغنیات برای آماده ساختن زمین توسط ماشین آلات زراعتی جهت کشت تجارب .
2- حفظ ،مراقبت وسایط و تجهیزات و زیربنا های فارم.
3-پرداخت فیس ماهانه انتر نت  برای استفاده مامورین در امورات رسمی
4-استخدام کارگرروزمزد به اساس روز کاری (16) نفردرفی ماه بنابر ضرورت به تعداد مختلف در روزها کارمیکنند). 
</t>
  </si>
  <si>
    <t>فارم تحقیقاتی پروان- مرکز چاریکار</t>
  </si>
  <si>
    <t>توزیع تخم سبزیجات برای 700 باب باغچه خانگی</t>
  </si>
  <si>
    <t>توزبع 31 بسته  وسایل باغداری برای کارمندان ترویج و دهاقین پیشقدم</t>
  </si>
  <si>
    <t xml:space="preserve"> دایر کردن  1395 جلسات آموزشی (مکتب دهقان در مزرعه) طبق فصل موسمی </t>
  </si>
  <si>
    <t>نصب سیستم چایله در 10 هکتار باغهای انگور</t>
  </si>
  <si>
    <t>احیآ مجدد 30 هکتار باغهای کهنه</t>
  </si>
  <si>
    <t>احداث 70 هکتار باغهای جدید درختان مثمر</t>
  </si>
  <si>
    <t>عقد قرارداد دستورات صحی وترنری ( راپوردهی و نمونه گیری امراض ) به خاطر آگاهی از وضعیت شیوع بیماری ساری حیوانی و زونوز</t>
  </si>
  <si>
    <t>شیخ علی قریه پاواز</t>
  </si>
  <si>
    <t>قرارداد با 12 تن نماینده  گان  ترویجی از طبقه اناث برای انجام دادن خدمات ترویجی مالداری (دایر نمودن کورسهای اموزشی برای دهاقین اناث)</t>
  </si>
  <si>
    <t xml:space="preserve">قرارداد با 6 باب VFUs ( واحد های ساحوی وترنری ) برای انجام دادن خدمات ترویجی مالداری  (دایرکردن کورسهای اموزشی برای دهاقین ذکور) </t>
  </si>
  <si>
    <t>توزیع تخم سبزیجات برای 200 باب باغچه خانگی</t>
  </si>
  <si>
    <t>توزیع تلک های فیرامونی برای کنترول حشرات در 50قطعات نمایشی باغها</t>
  </si>
  <si>
    <t xml:space="preserve"> دایر کردن  449 جلسات آموزشی (مکتب دهقان در مزرعه) طبق فصل موسمی </t>
  </si>
  <si>
    <t>اعمار 15باب چک دم های  کنترولی کوچک</t>
  </si>
  <si>
    <t xml:space="preserve">اعمار و مدیریت آبریزه های کوچک بخاطر آبیاری 8 هکتارزمین للمی و بدون اب </t>
  </si>
  <si>
    <t>اعمار 7 باب ذخیره گاه خاکی آب باران</t>
  </si>
  <si>
    <t>ایجاد (13) قطعات نمونوی استندرد زعفران وتوزیع کود تقویتی برای قطعات نمایشی</t>
  </si>
  <si>
    <t xml:space="preserve">توزیع 240 متریک تن تخم اصلاح شده گندم بذری </t>
  </si>
  <si>
    <t xml:space="preserve">بانک جهانی </t>
  </si>
  <si>
    <t xml:space="preserve">توزیع 90 بسته لوازم درسی برای 90 گروپ های زنانه و مردانه </t>
  </si>
  <si>
    <t xml:space="preserve">توزیع 3550 کیلو گرام کود عضوی </t>
  </si>
  <si>
    <t xml:space="preserve">توزیع 150 بسته لباس محافظوی ووسایل ادویه پاشی برای جلوگیری از تاثیرات منفی ادویه های کیمیاوی </t>
  </si>
  <si>
    <t xml:space="preserve">توزیع 80 سیت سبزخانه کوچک برای تولید سبزیجات </t>
  </si>
  <si>
    <t xml:space="preserve">پروژه ی سکتوری انکشاف زنجیره ارزش باغداری </t>
  </si>
  <si>
    <t xml:space="preserve">نصب سیستم ابیاری قطریی در باغات  ۱ هکتار </t>
  </si>
  <si>
    <t xml:space="preserve">نصب سیستم چیله در باغات متراکم میوه جات ۲ هکتار </t>
  </si>
  <si>
    <t xml:space="preserve">• ایجاد سلفر هاوس     
•توزیع بسته های زراعتی               </t>
  </si>
  <si>
    <t>تا اکنون مشخص نشده</t>
  </si>
  <si>
    <t xml:space="preserve">ایجاد  (  200  ) ذخیره گاه کچالو، ایجاد (   10   ) سردخانه انرژی صفری  </t>
  </si>
  <si>
    <t xml:space="preserve">1- روغنیات جهت آماده ساختن زمین توسط ماشین آلات زراعتی برای تجارب سبزیجات، نباتات صنعتی و پلیدار و دیگر تجارب پروژه عوامل تولید تمویل مالی نمیکند..
2-حفظ مراقبت وسایط ماشین الات زراعتی وزیربنا های فارم .
3-پرداخت فیس ماهانه انتر نت  برای دو عدد مودیم جهت استفاده مامورین در امورات رسمی.
4- تهیه کود کیمیاوی یوریا و دی ای پی. 
5-تهیه وسایل خورد کوچک زراعتی (بیل، کنگ، خریطه پلاستیکی نخی) .
6-تهیه کودحیوانی.
7- کارگرروزمزد به اساس روز کاری (57) درفی ماه بنابر ضرورت به تعداد مختلف در روزها کارمیکنند).
</t>
  </si>
  <si>
    <t>فارم تحقیقاتی ملاغلام- مرکز بامیان</t>
  </si>
  <si>
    <t>توزیع بسته  های حمایوی برای 1560 تن مستفدین مالداری از طبقه ذکور و اناث</t>
  </si>
  <si>
    <t>قرارداد با 30 تن نماینده  گان  ترویجی از طبقه اناث برای انجام دادن خدمات ترویجی مالداری (دایر نمودن کورسهای اموزشی برای دهاقین اناث)</t>
  </si>
  <si>
    <t xml:space="preserve">قرارداد با 15 باب VFUs ( واحد های ساحوی وترنری ) برای انجام دادن خدمات ترویجی مالداری  (دایرکردن کورسهای اموزشی برای دهاقین ذکور) </t>
  </si>
  <si>
    <t>توزیع تخم سبزیجات برای372 باب باغچه خانگی</t>
  </si>
  <si>
    <t>توزیع تخم پسته برای  احداث 5 هکتارباغهای جدید پسته</t>
  </si>
  <si>
    <t>احیآ مجدد 150 هکتار باغهای کهنه</t>
  </si>
  <si>
    <t>احداث 144هکتار باغهای جدید درختان مثمر</t>
  </si>
  <si>
    <t>ایجاد یک باب فارم تکثیری ماهیان سردآبی و گرم آبی</t>
  </si>
  <si>
    <t>فراهم آوری تسهیلات جهت اهداث 10 قطعه نمایشی سایبین (انتقال بودجه جهت تهیه مواد زراعتی،آموزش وتجلیل ازروز مزرعه به مستوفیت ولایت مربوطه وارسال رهنمود احداث قطعات نمایشی همراه با پلان مالی به ریاست های زراعت ولایت)</t>
  </si>
  <si>
    <t>توزیع  293 متریک تن  تخم گندم اصلاح شدۀ بذری</t>
  </si>
  <si>
    <t xml:space="preserve">ایجاد باغات متراکم۳۰ جریب </t>
  </si>
  <si>
    <t xml:space="preserve">بودجه آن به بخش مدیریت محصولات زراعتی تعدیل شده است </t>
  </si>
  <si>
    <t xml:space="preserve">اعمار حوض ذخایر اب برای ابیاری باغات  ۵ باب </t>
  </si>
  <si>
    <t>اعمار ذخیره صفر انرژی پیاز 40 باب</t>
  </si>
  <si>
    <t xml:space="preserve">اعمار ‌ذخایر صفر انرژی کچالو 40 باب </t>
  </si>
  <si>
    <t xml:space="preserve">مجادله علیه کنه های نباتی،کرم تخم خوار سیب ، کرم ساقۀ جواری، گیاه هرزه،لایم سلفر،یوریا اسپری، </t>
  </si>
  <si>
    <t>تدویر برنامه های آموزشی برای 144 زن</t>
  </si>
  <si>
    <t>توزیع 2880 قطعه مرغ با وسایل مرغداری برای 144 زن</t>
  </si>
  <si>
    <t>ایجاد (   80  ) ذخیره گاه پیاز، ایجاد (  130) ذخیره گاه  کچالو، ایجاد (   59   ) سردخانه انرژی صفری  ایجاد (   40  ) کشمش خانه های عصری وتوزیع (   30  ) وسایل سولری خشک کنند میوه وسبزیجات</t>
  </si>
  <si>
    <t xml:space="preserve">توزیع بسته  های حمایوی برای 1560 تن مستفدین مالداری از طبقه ذکور و اناث </t>
  </si>
  <si>
    <t>قرارداد با 24  تن نماینده  گان  ترویجی از طبقه اناث برای انجام دادن خدمات ترویجی مالداری (دایر نمودن کورسهای اموزشی برای دهاقین اناث)</t>
  </si>
  <si>
    <t>مرکز و ولسوالی</t>
  </si>
  <si>
    <t xml:space="preserve">قرارداد با 12 باب VFUs ( واحد های ساحوی وترنری ) برای انجام دادن خدمات ترویجی مالداری  (دایرکردن کورسهای اموزشی برای دهاقین ذکور) </t>
  </si>
  <si>
    <t>اعمار واحد های تولیدی کود عضوی برای باغچه های خانگی به تعداد 15 باب</t>
  </si>
  <si>
    <t xml:space="preserve">مرکز و 13 ولسوالی ها </t>
  </si>
  <si>
    <t>توزیع تخم پسته برای  احداث 10 هکتارباغهای جدید پسته</t>
  </si>
  <si>
    <t xml:space="preserve"> دایر کردن 3جلسه ( کورس های آموزشی ) برای آموزش دهنده گان (مسولین ولایتی, مامورین ترویج و دهاقین پیشقدم) </t>
  </si>
  <si>
    <t>توزبع 50 بسته  وسایل باغداری برای کارمندان ترویج و دهاقین پیشقدم</t>
  </si>
  <si>
    <t>بازدید وملاقات های  نمایشی کارمندان باغداری از ساحه به سطح زون  ولایت</t>
  </si>
  <si>
    <t>در سه ولایت</t>
  </si>
  <si>
    <t xml:space="preserve"> دایر کردن  2250 جلسات آموزشی (مکتب دهقان در مزرعه) طبق فصل موسمی </t>
  </si>
  <si>
    <t>اعمار 10 باب چک دم های  کنترولی کوچک</t>
  </si>
  <si>
    <t>نصب سیستم چایله در 3 هکتار باغهای انگور</t>
  </si>
  <si>
    <t>مرکز و 14 ولسوالی</t>
  </si>
  <si>
    <t>احداث 220 هکتار باغهای جدید درختان مثمر</t>
  </si>
  <si>
    <t xml:space="preserve">1-روغنیات برای آماده ساختن زمین توسط ماشین آلات زراعتی جهت کشت تجارب .
2-استخدام کارگرروزمزد به اساس روزکاری دریک ماه 26نفرازقرار۲۶روزکاری درماه                                                6- فیس انتر نت برای 3 نفر.                                               
</t>
  </si>
  <si>
    <t>فارم تحقیقاتی چشمه ماران پکتیا- ولسوالی گردیز</t>
  </si>
  <si>
    <t>مرکز و 9 ولسوالی</t>
  </si>
  <si>
    <t>مرکز و 8 ولسوالی</t>
  </si>
  <si>
    <t>اعمار و تجهیز  ساختمان یک باب  مرکز جمع آوری و سردکن شیر و حفر چاه عمیق</t>
  </si>
  <si>
    <t>مرکز و 11 ولسوالی</t>
  </si>
  <si>
    <t>مرکز و 7 ولسوالی</t>
  </si>
  <si>
    <t>مرکزو12 ولسوالی</t>
  </si>
  <si>
    <t>مرکز و14 ولسوالی</t>
  </si>
  <si>
    <t>آموزش دهاقین که برای شان قطعه ایجاد گردیده ودهاقین همجوار زعفران کار مرد درزمینه تولید، وایجاد مکتب دهقانی.</t>
  </si>
  <si>
    <t>مرکز و چهار ولسوالی</t>
  </si>
  <si>
    <t>درحال جریان است</t>
  </si>
  <si>
    <t>لابراتوار کنترل بیولوژیکی</t>
  </si>
  <si>
    <t>مبارزه علیه امراض و آفات نباتی</t>
  </si>
  <si>
    <t>ایجاد 6 صنف مکتب مزرعه دهاقین</t>
  </si>
  <si>
    <t>مجادله علیه کنه های نباتی، آنشک سیب و ناک، شپشک های نباتی، کرم ساقۀ شالی، مگس خربوزه، ملخ، گیاه هرزه، یوریا اسپری، لایم سلفر، کرم قطع کننده سبزیجات، کرم ریشه خوار علفچرها و موش</t>
  </si>
  <si>
    <t xml:space="preserve">ایجاد (   150  ) ذخیره گاه پیاز، ایجاد  (    100) ذخیره گاه  کچالو، ایجاد (   15   ) سردخانه انرژی صفری   </t>
  </si>
  <si>
    <t>در صورت حل مشکل بودجه فعالیت آغاز میگردد</t>
  </si>
  <si>
    <t xml:space="preserve">1-روغنیات برای آماده ساختن زمین توسط ماشین آلات زراعتی جهت کشت تجارب .
2- خریداری ضروریات تجارب تحقیقاتی وبریدر(تک، ترازو، خریطه سانی، وسایروسایل زراعتی) .
3- تهیه وخریداری کود کیمیاوی (دی ای پی و یوریا) .
4- تهیه وخریداری ادویجات (حشره کش، قارچ کش وگیاه کش ها)مورد ضرورت فارم .  . 
5-استخدام کارگرروزمزد به اساس روزکاری دریک ماه 193نفرازقرار۲۶روزکاری درماه                         6- فیس انتر نت برای 3 نفر.                                               
</t>
  </si>
  <si>
    <t>فارم تحقیقاتی باغ ذخیره - مرکز تالقان</t>
  </si>
  <si>
    <t>توزیع بسته  های حمایوی برای 1300 تن مستفدین مالداری از طبقه ذکورو اناث</t>
  </si>
  <si>
    <t>قرارداد با 20 تن نماینده  گان  ترویجی از طبقه اناث برای انجام دادن خدمات ترویجی مالداری (دایر نمودن کورسهای اموزشی برای دهاقین اناث)</t>
  </si>
  <si>
    <t xml:space="preserve">قرارداد با 10 باب VFUs ( واحد های ساحوی وترنری ) برای انجام دادن خدمات ترویجی مالداری  (دایرکردن کورسهای اموزشی برای دهاقین ذکور) </t>
  </si>
  <si>
    <t>پرداخت مصارف 1 باب لابراتوار تولیدی ادویه جات بیولوژیکی نباتی</t>
  </si>
  <si>
    <t>پیوند کردن نهال های پسته در 35  هکتار باغهای پسته</t>
  </si>
  <si>
    <t xml:space="preserve">توزیع هنگ در50 هکتار و زیره  13.4 هکتار ونخود در2 هکتار برای کشت، بحیث نبات دومی درمجموع 65.4  هکتار درباغهای نو احداث شده </t>
  </si>
  <si>
    <t>توزیع تخم پسته برای  احداث 107 هکتارباغهای جدید پسته</t>
  </si>
  <si>
    <t>توزبع 16 بسته  وسایل باغداری برای   دهاقین پیشقدم</t>
  </si>
  <si>
    <t xml:space="preserve"> دایر کردن 1710 جلسات آموزشی (مکتب دهقان در مزرعه) طبق فصل موسمی </t>
  </si>
  <si>
    <t>اعمار 4 باب چک دم های  کنترولی کوچک</t>
  </si>
  <si>
    <t>اعمار 4 باب ذخیره گاه خاکی آب باران</t>
  </si>
  <si>
    <t>احیآ مجدد 20 هکتار باغهای کهنه</t>
  </si>
  <si>
    <t>اعمار و تجهیز یک باب مرکز اصلاح نسل (استیشن های القاح مصنوعی)</t>
  </si>
  <si>
    <t>فراهم آوری تهسیلات جهت احداث 28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</si>
  <si>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توزیع  696 متریک تن  تخم گندم اصلاح شدۀ بذری</t>
  </si>
  <si>
    <t>پروژه حوزه دریایی پنج آمو</t>
  </si>
  <si>
    <t xml:space="preserve">مرکز </t>
  </si>
  <si>
    <t>توقف</t>
  </si>
  <si>
    <t>بودجه فعالیت متذکره در بخش مبارزه با کرونا از طرف  وزارت مخابرات تعدیل گردیده است</t>
  </si>
  <si>
    <t>وزارت زراعت، آبیاری و مالداری</t>
  </si>
  <si>
    <t xml:space="preserve">تدویر دو دورکوس آموزشی گاو داری برای 90 نفر </t>
  </si>
  <si>
    <t>ریس  زراعت ولایت</t>
  </si>
  <si>
    <t xml:space="preserve">  ایجاد (    2  ) سردخانه انرژی صفری  ایجاد (  200   ) کشمش خانه های عصری </t>
  </si>
  <si>
    <t xml:space="preserve">قلات ، شاه جوی،  شینکی ،  شهر صفا </t>
  </si>
  <si>
    <t>قرارداد با 14تن نماینده  گان  ترویجی از طبقه اناث برای انجام دادن خدمات ترویجی مالداری (دایر نمودن کورسهای اموزشی برای دهاقین اناث)</t>
  </si>
  <si>
    <t xml:space="preserve">قرارداد با 7 باب VFUs ( واحد های ساحوی وترنری ) برای انجام دادن خدمات ترویجی مالداری  (دایرکردن کورسهای اموزشی برای دهاقین ذکور) </t>
  </si>
  <si>
    <t xml:space="preserve">توزیع  50 بسته از ادویه جات بیولوژیکی نباتی جهت کنترول آفات وامراض نباتی </t>
  </si>
  <si>
    <t>پیوند کردن نهال های پسته در 10هکتار باغهای پسته</t>
  </si>
  <si>
    <t>توزیع تخم پسته برای  احداث 40هکتارباغهای جدید پسته</t>
  </si>
  <si>
    <t xml:space="preserve"> دایر کردن  269 جلسات آموزشی (مکتب دهقان در مزرعه) طبق فصل موسمی </t>
  </si>
  <si>
    <t>اعمار 3 باب  کشمش خانه یک طبقه ای</t>
  </si>
  <si>
    <t>توزیع 6پایه واترپمپ سولری برای آبیاری باغهای مثمر</t>
  </si>
  <si>
    <t>اعمار 30 باب چک دم های  کنترولی کوچک</t>
  </si>
  <si>
    <t>اعمار 6 باب ذخیره گاه خاکی آب باران</t>
  </si>
  <si>
    <t>نصب سیستم چایله در 8هکتار باغهای انگور</t>
  </si>
  <si>
    <t xml:space="preserve">    </t>
  </si>
  <si>
    <t>متوقف است</t>
  </si>
  <si>
    <t xml:space="preserve">• تعین ساحه وآماده کردن زمین جهت احداث 
• تعین ساحه وآماده کردن زمین جهت احداث باغات متراکم وتجارتی 
• تهیه وخریداری نهال برای ایجاد کلیکسیون ، احداث باغات تجارتی و باغات نمایشی 
• توضیع وسایل جمع آوری،خشک کردن وبسته بندی 
• احیای باغات سابقه 
</t>
  </si>
  <si>
    <t>قلات ، شاه جوی، ارغنداب ، دایچوپان، میزان ،  ترنک و جلدک، شینکی ،  شملزی ، اتغر، نوبهار و  کاکر</t>
  </si>
  <si>
    <t xml:space="preserve">توزیع 140 متریک تن تخم اصلاح شده گندم بذری </t>
  </si>
  <si>
    <t>زراعت،آبیاری ومالداری</t>
  </si>
  <si>
    <t xml:space="preserve">تکمیل کاری باقی مانده 20 ٪گدام 250 متریک تن 
</t>
  </si>
  <si>
    <t>مجادله علیه کنه های ، شپشک ها ی نباتی، مگس خربوزه ،ملخ ، کفشک گندم،گیاه هرزه،،یوریا اسپری، لایم سلفر ،کرم قطع کننده سبزیجات  ،کرم ریشه خوار علفچرها ،موش .</t>
  </si>
  <si>
    <t xml:space="preserve">ایجاد (   150  ) ذخیره گاه پیاز، ایجاد  ( 70  ) ذخیره گاه  کچالو، ایجاد (    20  ) سردخانه انرژی صفری  ایجاد (     280) کشمش خانه های عصری وتوزیع (    60 ) وسایل سولری خشک کنند میوه وسبزیجات </t>
  </si>
  <si>
    <t xml:space="preserve">بودجه این فعالیت در بخش پروژه مدیریت محصولات زراعتی به منظور تسریع بخشیدن پروسس و تولید محصولات زراعتی تعدیل گردیده است </t>
  </si>
  <si>
    <t>توزیع بسته  های حمایوی برای 780 تن مستفدین مالداری از طبقه ذکور و اناث</t>
  </si>
  <si>
    <t>تهیه 20000 چوچه ماهی برای فارم های ماهی پروری خصوصی که از قبل اعمار گردیده است</t>
  </si>
  <si>
    <t xml:space="preserve">پرداخت   فیس واکسین برای VFUs ( کلینیک های ساحوی وترنری ) بخاطراشتراک در کمپاین تطبیق واکسین بروسلوز برای حیوانات کوچک </t>
  </si>
  <si>
    <t>خریداری 130000 دوز واکسین بروسلوز برای حیوانات کوچک ( گوسفند و بزها )</t>
  </si>
  <si>
    <t>خریداری  18000 دوز واکسین بروسلوز برای حیوانات بزرگ</t>
  </si>
  <si>
    <t>توزبع 20 بسته  وسایل باغداری برای کارمندان ترویج و دهاقین پیشقدم</t>
  </si>
  <si>
    <t xml:space="preserve"> دایر کردن  900 جلسات آموزشی (مکتب دهقان در مزرعه) طبق فصل موسمی </t>
  </si>
  <si>
    <t>احیآ مجدد 60 هکتار باغهای کهنه</t>
  </si>
  <si>
    <t xml:space="preserve">احداث 1 هکتار باغهای متراکم و نیمه متراکم </t>
  </si>
  <si>
    <t>فراهم آوری تهسیلات جهت احداث 14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</si>
  <si>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ایجاد (32) قطعات نمونوی استندرد زعفران وتوزیع کود تقویتی برای قطعات نمایشی</t>
  </si>
  <si>
    <t xml:space="preserve">• وتوافقی آلو بخارا در مرکز   
• تعین ساحه وآماده کردن زمین جهت احداث باغ های متراکم ، تجارتی و ارگانیک    
• تهیه وخریداری نهال برای ایجاد کلیکسیون ، احداث باغات تجارتی و باغات نمایشی    
• احیای باغ های سابقه آلوبخارا   
• معاش مامور تطبیق پروژه    
• تجهیز دفتر غزنی    
• کرایه موتر دفتر غزنی 
</t>
  </si>
  <si>
    <t>ایجاد 1باب  مرکز خدمات برای دهاقین</t>
  </si>
  <si>
    <t xml:space="preserve"> دایر کردن 1200 جلسات آموزشی (مکتب دهقان در مزرعه) طبق فصل موسمی </t>
  </si>
  <si>
    <t>احداث 1381 هکتار باغهای جدید درختان مثمر</t>
  </si>
  <si>
    <t xml:space="preserve">احداث 12 هکتار باغهای متراکم و نیمه متراکم </t>
  </si>
  <si>
    <t>فراهم آوری تسهیلات جهت احداث 21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</si>
  <si>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 xml:space="preserve">مرکز،آب بند،اندر،اجرستان، جغتو، جاغوری وگیلان </t>
  </si>
  <si>
    <t>توزیع  522 متریک تن  تخم گندم اصلاح شدۀ بذری</t>
  </si>
  <si>
    <t xml:space="preserve">19واحد اداری </t>
  </si>
  <si>
    <t>درصورت که مقام وزارت هدایت دهند سمپل به مرکزارسال خواهد شد</t>
  </si>
  <si>
    <t>طبق معلومات لابرتوارمرکزی به کوید 19صحت عامه انتفال یافته وکدام سمپل ارسال نشده است</t>
  </si>
  <si>
    <t xml:space="preserve">بشمول مرکز19 ولسوالی </t>
  </si>
  <si>
    <t xml:space="preserve"> قره باغ ؛ جاغوری؛ جغتو؛ خواجه عمری ومرکزغزنی  </t>
  </si>
  <si>
    <t>احیاوحفاظت (10) جریب قوریه</t>
  </si>
  <si>
    <t>توزبع ۱۰ بسته  وسایل باغداری برای کارمندان ترویج و دهاقین پیشقدم</t>
  </si>
  <si>
    <t xml:space="preserve"> دایر کردن  1125 جلسات آموزشی (مکتب دهقان در مزرعه) طبق فصل موسمی </t>
  </si>
  <si>
    <t>اعمار 15 باب چک دم های  کنترولی کوچک</t>
  </si>
  <si>
    <t>احداث ۲۸۰ هکتار باغهای جدید درختان مثمر</t>
  </si>
  <si>
    <t>خریداری135تن مواد خوراکه فارم مالداری</t>
  </si>
  <si>
    <t>رئیس زراعت ولایت</t>
  </si>
  <si>
    <t xml:space="preserve">1-روغنیات برای آماده ساختن زمین توسط ماشین آلات زراعتی جهت کشت تجارب .
2- حفظ مراقبت وسایط، ماشین الات زراعتی وزیر بنا های فارم   .
 3-تهیه وخریداری یک پایه دوفال تراکتور.                         4-پرداخت فیس ماهانه انتر نت برای یک عدد مودی برای مامورین جهت استفاده امورات رسمی             5- استخدام کارگرروزمزد به اساس روز کاری (30 نفر) دریک ماه به اساس ضرورت درروزکارمینمایند.        
</t>
  </si>
  <si>
    <t>فارم تحقیقاتی میدان هوائی ولسوالی چغچران</t>
  </si>
  <si>
    <t xml:space="preserve">توزیع 200متریک تن تخم اصلاح شده گندم بذری </t>
  </si>
  <si>
    <t>خاکجبار</t>
  </si>
  <si>
    <t>پروژه ی سکتوری انکشاف زنجیره ارزش باغداری HVCDP</t>
  </si>
  <si>
    <t xml:space="preserve">  ایجاد (   ۶۴   ) سردخانه انرژی صفری  ایجاد ( 5۴ ) کشمش خانه های عصری وتوزیع ( 70 ) وسایل سولری خشک کنند میوه وسبزیجات</t>
  </si>
  <si>
    <t>۱۱ولسوالی</t>
  </si>
  <si>
    <t>درجریان است</t>
  </si>
  <si>
    <t xml:space="preserve"> ۱۴ولسوالی وزراعت شهری</t>
  </si>
  <si>
    <t xml:space="preserve">این فعالیت  از طریق پروژه  انکشاف امور کوچی ها در صورت دریافت بودجه تطبیق  میگردد </t>
  </si>
  <si>
    <t>اعمارمرکزجمع آوری شیر</t>
  </si>
  <si>
    <t>موسهی</t>
  </si>
  <si>
    <t>اعمار و تجهیز 2 باب مرکز اصلاح نسل (استیشن های القاح مصنوعی)</t>
  </si>
  <si>
    <t>خاکجباروموسهی</t>
  </si>
  <si>
    <t>توزیع  220 متریک تن  تخم گندم اصلاح شدۀ بذری</t>
  </si>
  <si>
    <t>استخدام یک تن مشاور فنی بخاطر مطالعه تاثیرات سکتور ماهی پروری در رشد این سکتور</t>
  </si>
  <si>
    <t xml:space="preserve">توزیع بسته های مرغ های تخمی 100 قطعه ئی نیمه تجارتی برای 250 خانم بی بضاعت </t>
  </si>
  <si>
    <t xml:space="preserve">میر بچه کوت و کلکان </t>
  </si>
  <si>
    <t>توزیع بسته  های حمایوی برای 1170 تن مستفدین مالداری از طبقه ذکور و اناث</t>
  </si>
  <si>
    <t>قرارداد با 18 تن نماینده  گان  ترویجی از طبقه اناث برای انجام دادن خدمات ترویجی مالداری (دایر نمودن کورسهای اموزشی برای دهاقین اناث)</t>
  </si>
  <si>
    <t>قره باغ،فرزه ،سروبی،کلکان،ده سبز وچهاراسیاب</t>
  </si>
  <si>
    <t xml:space="preserve">قرارداد با 9 باب VFUs ( واحد های ساحوی وترنری ) برای انجام دادن خدمات ترویجی مالداری  (دایرکردن کورسهای اموزشی برای دهاقین ذکور) </t>
  </si>
  <si>
    <t>در صورت موجودیت بودجه در سال آینده تطبیق میگردد</t>
  </si>
  <si>
    <t>حمایت از صنایع لبنیات خصوصی و اصلاح و بهتر سازی ساختمانها و تسهیلات موجوده در این عرصه ( حمایت مالی و تخیکی از1 باب مراکز جمع آوری شیر)</t>
  </si>
  <si>
    <t>تهیه 50000چوچه ماهی برای فارم های ماهی پروری خصوصی که از قبل اعمار گردیده است</t>
  </si>
  <si>
    <t>اعمار 5 واحد تولید کود کمپوست</t>
  </si>
  <si>
    <t>احداث 60 قطعات نمایشی  زعفران ( که فی قطعه دارای 1000m2 مساحت میباشد)</t>
  </si>
  <si>
    <t>اعمار واحد های تولیدی کود عضوی برای باغچه های خانگی به تعداد 80 باب</t>
  </si>
  <si>
    <t>توزیع 10 بسته از لوازم پروسیس سبزیجات برای دهاقین طبقه اناث</t>
  </si>
  <si>
    <t>توزیع تخم سبزیجات برای 1500 باب باغچه خانگی</t>
  </si>
  <si>
    <t xml:space="preserve">توزیع تلک های دلتا برای جلوگیری از امراض و حشرات در 500 قطعات نمایشی باغها </t>
  </si>
  <si>
    <t>توزیع چسپ های فیرامونی برای کنترول حشرات در 500 قطعات نمایشی باغها</t>
  </si>
  <si>
    <t>توزیع تلک های فیرامونی برای کنترول حشرات در 300 قطعات نمایشی باغها</t>
  </si>
  <si>
    <t xml:space="preserve"> ایجاد 8 باب کلینیک سیار نباتی برای کنترول آفات وامراض نباتی</t>
  </si>
  <si>
    <t>پرداخت مصارف 2 باب لابراتوار تولیدی ادویه جات بیولوژیکی نباتی</t>
  </si>
  <si>
    <t xml:space="preserve">توزیع  300 بسته از ادویه جات بیولوژیکی نباتی جهت کنترول آفات وامراض نباتی </t>
  </si>
  <si>
    <t>توزیع  خریطه کاغذی انار و خربوزه  برای کنترول میخانیکی در مقابل امراض و افات نیاتی در 400 جریب زمین</t>
  </si>
  <si>
    <t xml:space="preserve">توزیع هنگ و زیره برای کشت، بحیث نبات دومی در3 هکتار باغهای نو احداث شده پسته </t>
  </si>
  <si>
    <t>توزیع تخم پسته برای  احداث 3 هکتارباغهای جدید پسته</t>
  </si>
  <si>
    <t>۱۳ ولسوالی</t>
  </si>
  <si>
    <t xml:space="preserve">بازدید وملاقات های  نمایشی کارمندان باغداری از ساحه به سطح  زون  </t>
  </si>
  <si>
    <t xml:space="preserve"> دایر کردن 1285 جلسات آموزشی (مکتب دهقان در مزرعه) طبق فصل موسمی </t>
  </si>
  <si>
    <t>۱۱ ولسوالی</t>
  </si>
  <si>
    <t>توزیع 10 پایه واترپمپ سولری برای آبیاری باغهای مثمر</t>
  </si>
  <si>
    <t>اعمار3 باب چک دم های  کنترولی کوچک</t>
  </si>
  <si>
    <t>نصب سیستم چایله در ۰۴ هکتار باغهای انگور</t>
  </si>
  <si>
    <t>احداث ۳۰۴.۲ هکتار باغهای جدید درختان مثمر</t>
  </si>
  <si>
    <t xml:space="preserve"> ۱۳ولسوالی به استثنای استالف</t>
  </si>
  <si>
    <t xml:space="preserve">احداث ۱۰.۲ هکتار باغهای متراکم و نیمه متراکم </t>
  </si>
  <si>
    <t xml:space="preserve"> ۹ولسوالی به استنای سروبی،استالف،موسی راعت شهری </t>
  </si>
  <si>
    <t>ایجاد (20) قطعات نمونوی استندرد زعفران وتوزیع کود تقویتی برای قطعات نمایشی</t>
  </si>
  <si>
    <t>ایجاد (   50  ) ذخیره گاه پیاز، ایجاد (   25 ) ذخیره گاه  کچالو، ایجاد (  12    ) سردخانه انرژی صفری  ایجاد (  100   ) کشمش خانه های عصری وتوزیع ( 5    ) وسایل سولری خشک کنند میوه وسبزیجات</t>
  </si>
  <si>
    <t>1- روغنیات جهت آماده ساختن زمین توسط ماشین آلات زراعتی و جنریتور ها  2- پرداخت فیس ماهانه انتر نت  برای استفاده مامورین در امورات رسمی   3- کارگرروزمزد به اساس روز کاری (17) کار گر روز مزد درفی ماه بنابر ضرورت به تعداد مختلف در روزها کارمیکنند)</t>
  </si>
  <si>
    <t>فارم تحقیقاتی شوخی مرکز محود راقی</t>
  </si>
  <si>
    <t xml:space="preserve">توزیع تلک های دلتا برای جلوگیری از امراض و حشرات در 200 قطعات نمایشی باغها </t>
  </si>
  <si>
    <t>توزیع  خریطه کاغذی انار و خربوزه  برای کنترول میخانیکی در مقابل امراض و افات نیاتی در 200 جریب زمین</t>
  </si>
  <si>
    <t>توزبع 25 بسته  وسایل باغداری برای کارمندان ترویج و دهاقین پیشقدم</t>
  </si>
  <si>
    <t xml:space="preserve"> دایر کردن  675 جلسات آموزشی (مکتب دهقان در مزرعه) طبق فصل موسمی </t>
  </si>
  <si>
    <t>احیآ مجدد 40 هکتار باغهای کهنه</t>
  </si>
  <si>
    <t>اعمار و تجهیز  ساختمان  یک باب مرکز جمع آوری و سردکن شیر و حفر چاه عمیق</t>
  </si>
  <si>
    <t>فراهم آوری تسهیلات جهت اهداث 8 قطعه نمایشی شرشم (انتقال بودجه جهت تهیه مواد زراعتی،آموزش وتجلیل ازروز مزرعه به مستوفیت ولایت مربوطه وارسال رهنمود احداث قطعات نمایشی همراه با پلان مالی به ریاست های زراعت ولایت)</t>
  </si>
  <si>
    <t>فراهم آوری تهسیلات جهت احداث 21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</si>
  <si>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توسعه کشت پخته و زعفران</t>
  </si>
  <si>
    <t xml:space="preserve"> ایجاد  ( 4) ذخیره گاه کچالو، ایجاد (  52   ) سردخانه انرژی صفری  ایجاد (   910  ) کشمش خانه های عصری وتوزیع (  54   ) وسایل سولری خشک کنند میوه وسبزیجات </t>
  </si>
  <si>
    <t xml:space="preserve">۹ولسوالی </t>
  </si>
  <si>
    <t xml:space="preserve">توزیع بسته  های حمایوی برای 1820تن مستفدین مالداری از طبقه ذکور و اناث </t>
  </si>
  <si>
    <t xml:space="preserve">پنجوائی ، دامان </t>
  </si>
  <si>
    <t xml:space="preserve">دامان و مرکز </t>
  </si>
  <si>
    <t xml:space="preserve">ایجاد یکباب هچری ماهی آب گرم </t>
  </si>
  <si>
    <t xml:space="preserve">ولسوالی دامان </t>
  </si>
  <si>
    <t>قرارداد با 28تن نماینده  گان  ترویجی از طبقه اناث برای انجام دادن خدمات ترویجی مالداری (دایر نمودن کورسهای اموزشی برای دهاقین اناث)</t>
  </si>
  <si>
    <t xml:space="preserve">قرارداد با 14 باب VFUs ( واحد های ساحوی وترنری ) برای انجام دادن خدمات ترویجی مالداری  (دایرکردن کورسهای اموزشی برای دهاقین ذکور) </t>
  </si>
  <si>
    <t>حمایت از صنایع لبنیات خصوصی و اصلاح و بهتر سازی ساختمانها و تسهیلات موجوده در این عرصه ( حمایت مالی و تخیکی از 3 باب مراکز جمع آوری شیر)</t>
  </si>
  <si>
    <t>اعمار 8 واحد تولید کود کمپوست</t>
  </si>
  <si>
    <t>توزیع 80 بسته از لوازم پروسیس سبزیجات برای دهاقین طبقه اناث</t>
  </si>
  <si>
    <t>توزیع تخم سبزیجات برای 800باب باغچه خانگی</t>
  </si>
  <si>
    <t xml:space="preserve">  توزیع 250 بسته از لباس محافظوی و وسایل ادویه پاشی برای جلوگیری از تاثیرات منفی ادویه جات کیمیاوی</t>
  </si>
  <si>
    <t>توزیع چسپ های فیرامونی برای کنترول حشرات در 100قطعات نمایشی باغها</t>
  </si>
  <si>
    <t>توزیع تلک های فیرامونی برای کنترول حشرات در 150قطعات نمایشی باغها</t>
  </si>
  <si>
    <t>توزیع  خریطه کاغذی انار و خربوزه  برای کنترول میخانیکی در مقابل امراض و افات نیاتی در 500 جریب زمین</t>
  </si>
  <si>
    <t>پیوند کردن نهال های پسته در 30 هکتار باغهای پسته</t>
  </si>
  <si>
    <t>توزیع تخم پسته برای  احداث 110 هکتارباغهای جدید پسته</t>
  </si>
  <si>
    <t>توزبع 34 بسته  وسایل باغداری برای کارمندان ترویج و دهاقین پیشقدم</t>
  </si>
  <si>
    <t xml:space="preserve">بازدید وملاقات های  نمایشی کارمندان باغداری از ساحه به سطح 7 زون  ولایات </t>
  </si>
  <si>
    <t>ایجاد 3مراکز خدمات برای دهاقین</t>
  </si>
  <si>
    <t xml:space="preserve"> دایر کردن  1530جلسات آموزشی (مکتب دهقان در مزرعه) طبق فصل موسمی </t>
  </si>
  <si>
    <t>اعمار 150باب  کشمش خانه یک طبقه ای</t>
  </si>
  <si>
    <t>توزیع 12پایه واترپمپ سولری برای آبیاری باغهای مثمر</t>
  </si>
  <si>
    <t xml:space="preserve">اعمار و مدیریت آبریزه های کوچک بخاطر آبیاری 3 هکتارزمین للمی و بدون اب </t>
  </si>
  <si>
    <t>نصب سیستم چایله در 25هکتار باغهای انگور</t>
  </si>
  <si>
    <t>احداث 180 هکتار باغهای جدید درختان مثمر</t>
  </si>
  <si>
    <t xml:space="preserve">احداث 4  هکتار باغهای متراکم و نیمه متراکم </t>
  </si>
  <si>
    <t xml:space="preserve">• آماده کردن زمین جهت احداث باغات تجارتی خرما    
• تهیه وخریداری نهال برای احداث باغات تجارتی خرما    
• اعمار مرکز پروسس شکر پاره                       
</t>
  </si>
  <si>
    <t xml:space="preserve"> سپین بولدک، تخته پل، ریگستان، میوند، دامان ونیش</t>
  </si>
  <si>
    <t>در صورت بهبود امنیت پروژه در سال اینده آغاز میگردد</t>
  </si>
  <si>
    <t xml:space="preserve">ساخت (1) باب سیلوی سایلج به ظرفیت  5 متریک تن و ترویج ان غرض بهبود تغذیه </t>
  </si>
  <si>
    <t>انتقال تطبیق و مانیتورنگ از برنامه کمپاین FMD</t>
  </si>
  <si>
    <t>در سال آینده در نظر گرفته خواهد شد.</t>
  </si>
  <si>
    <t>نسبت نا امنی  ساحه خارج شهری متوفق شد</t>
  </si>
  <si>
    <t xml:space="preserve">1-حفظ و مراقبت وسایط ووسایل فارم وترمیم ماشین آلات زراعتی آمریت ماشین الات .
2- پاک کاری ، خیشاوه ،چیدن گل، خریداری قطی، وتهیه کودحیوانی   .
3-تهیه وخریداری روغنیات (دیزل، پطرول ومبایل) 
4- تهیه وخریدرای کود یوریا و دی ای پی.    5-خریداری وتهیه کود حیوانی. 
6- پرداخت فیس ماهانه انتر نت برای دو مودیم که تمام کارمندان در جریان وظیفه نظر بضرورت استعمال نمایند .
7-خریداری وتهیه ادویجات زراعتی (قارچ کش، حشره کش، گیاه کش، کنه کش،).     
8-استخدام کارگرروزمزد به اساس روز کاری (140 نفر) درفی ماه به اساس ۲۶ روزکاری بنابرضرورت به تعداد مختلف درروزکارمینمایند.
                   بخش باغداری              
 1-تهیه روغنیات برای جنریتور برای آبیاری فارم و همچنان تراکتور غرض استفاده آن در فارم.
2-حفظ و مراقبت، ماشین آلات زارعتی، و زیربناهای فارم در جریان سال
3-تهیه وخریداری کود کیمیاوی (دی ای پی و یوریا)   4-تهیه وخریداری انبارحیوانی.
5- وسایل شاخه بری وسامان الات کار (اره، قیچی،  زینه, کراچی دستی) وغیره.   
 6- خریداری وتهیه ادویجات زراعتی (قارچ کش، حشره کش، گیاه کش، کنه کش،لایم سلفروروغن زمستانی) 
 7- استخدام کارگرروزمزد به اساس روز کاری (123 نفر) درفی ماه به اساس ۲۶ روزکاری بنابرضرورت به تعداد مختلف درروزکارمینمایند.
</t>
  </si>
  <si>
    <t>فارم تحقیقاتی کوهکران  مرکز کندهار</t>
  </si>
  <si>
    <t>مرکز و ۵ ولسوالی</t>
  </si>
  <si>
    <t xml:space="preserve">توزیع 668 متریک تن تخم اصلاح شده گندم بذری </t>
  </si>
  <si>
    <t>مرکز و ۱۴ ولسوالی</t>
  </si>
  <si>
    <t xml:space="preserve">فراهم آوری تهسیلات جهت احداث ۲۱ قطعه نمایشی گندم </t>
  </si>
  <si>
    <t>مرکز و ۸ ولسوالی</t>
  </si>
  <si>
    <t>زراعت ،آبیاری و مالداری</t>
  </si>
  <si>
    <t xml:space="preserve">مجادله علیه مور لشکری ،کرم سا قۀ شالی ، ساه قاق گندم ،یوریا اسپری، </t>
  </si>
  <si>
    <t>بانک انکشافی آسیایی</t>
  </si>
  <si>
    <t>ولسوالی: خاص کنر٫ مروره ٫ اسعد اباد</t>
  </si>
  <si>
    <t>ایجاد (    40 ) ذخیره گاه پیاز، ایجاد  (  40  ) ذخیره گاه کچالو،  وتوزیع (   30  ) وسایل سولری خشک کنند میوه وسبزیجات</t>
  </si>
  <si>
    <t>نرنگ ، حوکی ، سرکانی و خاص کنر</t>
  </si>
  <si>
    <t xml:space="preserve">ولسوالی حوکی </t>
  </si>
  <si>
    <t>تهیه چوچه 60000ماهی برای فارم های ماهی پروری خصوصی که از قبل اعمار گردیده است</t>
  </si>
  <si>
    <t xml:space="preserve">پرداخت 525000 افغانی فیس واکسین برای VFUs ( کلینیک های ساحوی وترنری ) بخاطراشتراک در کمپاین تطبیق واکسین بروسلوز برای حیوانات کوچک </t>
  </si>
  <si>
    <t xml:space="preserve">پرداخت 200000ملیون افغانی فیس واکسین برای VFUs ( کلینیک های ساحوی وترنری ) بخاطراشتراک در کمپاین تطبیق واکسین بروسلوز برای حیوانات بزرگ </t>
  </si>
  <si>
    <t>خریداری105000 دوز واکسین بروسلوز برای حیوانات کوچک ( گوسفند و بزها )</t>
  </si>
  <si>
    <t>خریداری  20000 دوز واکسین بروسلوز برای حیوانات بزرگ</t>
  </si>
  <si>
    <t>اعمار واحد های تولیدی کود عضوی برای باغچه های خانگی به تعداد 350 باب</t>
  </si>
  <si>
    <t>توزیع چسپ های پیرامونی برای کنترول حشرات در 200 قطعات نمایشی باغها</t>
  </si>
  <si>
    <t>توزیع تلک های پیرامونی برای کنترول حشرات در 100 قطعات نمایشی باغها</t>
  </si>
  <si>
    <t xml:space="preserve"> دایر کردن  720 جلسات آموزشی (مکتب دهقان در مزرعه) طبق فصل موسمی </t>
  </si>
  <si>
    <t>توزیع 13 پایه واترپمپ سولری برای آبیاری باغهای مثمر</t>
  </si>
  <si>
    <t>اعمار 25 باب چک دم های  کنترولی کوچک</t>
  </si>
  <si>
    <t>اعمار 15 باب ذخیره گاه خاکی آب باران</t>
  </si>
  <si>
    <t>احداث 200هکتار باغهای جدید درختان مثمر</t>
  </si>
  <si>
    <t xml:space="preserve">1-روغنیات برای آماده ساختن زمین توسط ماشین آلات زراعتی جهت کشت تجارب .
2-تهیه وخریداری وسایل وسامالات زراعتی .
3-پرداخت فیس ماهانه انتر نت  برای استفاده مامورین در امورات رسمی  
4- تهیه وخریداری کود کیمیاوی( یوریاDAP)    
5-استخدام کارگرروزمزد به اساس روز کاری (27 نفر) درفی ماه نظربه ضرورت به تعداد مختلف درروزکارمینمایند
</t>
  </si>
  <si>
    <t>فارم تحقیقاتی باغ ذخیره مرکز اسدآباد</t>
  </si>
  <si>
    <t xml:space="preserve">فراهم آوری تهسیلات جهت احداث 10 قطعه نمایشی گندم </t>
  </si>
  <si>
    <t>دانگام، شیگل و مروره</t>
  </si>
  <si>
    <t>احیاوحفاظت (4) جریب قوریه</t>
  </si>
  <si>
    <t>مرکز ولایت کنر</t>
  </si>
  <si>
    <t>تهیه و خریداری 20 تخته لوحه های آگاهی عامه ( از فلز معه پایه ، نوشتن یک ماده قانون تنظیم جنگلات به سایز 120 در 80  سانتی متر) معه نصب در مسیر جنگلات طبیعی</t>
  </si>
  <si>
    <t>اعمار 1000 متر مکعب چکدم در گلی ها به منظور کاهش سرعت آب و حفاظت اب و خاک</t>
  </si>
  <si>
    <t>خریداری 50 پایه سولر250وات چینایی جهت آبیاری 20هزار نهال</t>
  </si>
  <si>
    <t>خریداري 5 پایه واتر پمپ سولری با ملحقات جهت آبیاری 20هزار نهال</t>
  </si>
  <si>
    <t>اعمار  8 باب ذخیره های کوچک 1*3*3  جهت آبیاری 20هزار نهال</t>
  </si>
  <si>
    <t>خریداری  2000 متر پایپ یک انچ رابری ایرانی جهت آبیاری 20هزار نهال</t>
  </si>
  <si>
    <t xml:space="preserve">اجوره انتقال، غرس و آبیاری 20 هزار نهالهای چهار مغز که در سال 1397 و 1398 توسط انجمنهای جنگلداری تولید گردیده است </t>
  </si>
  <si>
    <t>اعمار سیستم آبیاری سولری لاهور داگ</t>
  </si>
  <si>
    <t xml:space="preserve">پروژه آبیاری و ذخایر آب </t>
  </si>
  <si>
    <t>مروره / لاهور داگ</t>
  </si>
  <si>
    <t xml:space="preserve">اعمار سیستم آبیاری سولری سرکانو للمه </t>
  </si>
  <si>
    <t>سرکانو / للمه</t>
  </si>
  <si>
    <t>اعمار سیستم های آبیاری سولری حصار داگ قسمت 1 و 2</t>
  </si>
  <si>
    <t>مروره / کوزه کلا اوسیدآباد</t>
  </si>
  <si>
    <t xml:space="preserve">اعمار سیستم های آبیاری سولری نرنگ داگ </t>
  </si>
  <si>
    <t>مرکز / لچه گلی</t>
  </si>
  <si>
    <t>ایجاد (    190 ) ذخیره گاه پیاز  و توزیع (    100 ) وسایل سولری خشک کنند میوه وسبزیجات</t>
  </si>
  <si>
    <t xml:space="preserve">ولسوالی قرغه ئی </t>
  </si>
  <si>
    <t>تهیه 70000چوچه ماهی برای فارم های ماهی پروری خصوصی که از قبل اعمار گردیده است</t>
  </si>
  <si>
    <t>به سطح ولایت</t>
  </si>
  <si>
    <t>قرارداد با 7 باب کلینیک های ساحوی وترنری (VFUs)  برای برنامه تعهدات صحی ( دایر کردن کورسها، تهیه بسته های آموزشی DRSF, LSF و جمع آوری بسته سمپل ها و پرداخت هزینه ترانسپورت برای انتقال سمپل ها به اداره ولایتی)، وهمچنین پرداخت مصارف تیلفونی کارمندان دولتی (PVOs )</t>
  </si>
  <si>
    <t xml:space="preserve">پرداخت 625000 افغانی فیس واکسین برای VFUs ( کلینیک های ساحوی وترنری ) بخاطراشتراک در کمپاین تطبیق واکسین بروسلوز برای حیوانات کوچک </t>
  </si>
  <si>
    <t xml:space="preserve">پرداخت 150000 افغانی فیس واکسین برای VFUs ( کلینیک های ساحوی وترنری ) بخاطراشتراک در کمپاین تطبیق واکسین بروسلوز برای حیوانات بزرگ </t>
  </si>
  <si>
    <t xml:space="preserve">توزیع لوازم واکسین، مواد آگاهی دهی و تطبیق کمپاین و تست موثریت واکسین بعد از تطبیق ونظارت از کورسهای آموزشی برای VFUs/PVOs در 6 ولسوالی  </t>
  </si>
  <si>
    <t>خریداری  125000  دوز واکسین بروسلوز برای حیوانات کوچک ( گوسفند و بزها )</t>
  </si>
  <si>
    <t>خریداری  15000دوز واکسین بروسلوز برای حیوانات بزرگ</t>
  </si>
  <si>
    <t>اعمار 3 واحد تولید کود کمپوست</t>
  </si>
  <si>
    <t>توزیع 3بسته از لوازم پروسیس سبزیجات برای دهاقین طبقه اناث</t>
  </si>
  <si>
    <t>توزیع تخم سبزیجات برای 1500باب باغچه خانگی</t>
  </si>
  <si>
    <t xml:space="preserve">  توزیع 150بسته از لباس محافظوی و وسایل ادویه پاشی برای جلوگیری از تاثیرات منفی ادویه جات کیمیاوی</t>
  </si>
  <si>
    <t>توزیع چسپ های فیرامونی برای کنترول حشرات در 250قطعات نمایشی باغها</t>
  </si>
  <si>
    <t xml:space="preserve">توزیع هنگ و زیره برای کشت، بحیث نبات دومی در4 هکتار باغهای نو احداث شده پسته </t>
  </si>
  <si>
    <t>توزیع تخم پسته برای  احداث 40 هکتارباغهای جدید پسته</t>
  </si>
  <si>
    <t>توزبع 13 بسته  وسایل باغداری برای کارمندان ترویج و دهاقین پیشقدم</t>
  </si>
  <si>
    <t xml:space="preserve"> دایر کردن  585جلسات آموزشی (مکتب دهقان در مزرعه) طبق فصل موسمی </t>
  </si>
  <si>
    <t>توزیع 8 پایه واترپمپ سولری برای آبیاری باغهای مثمر</t>
  </si>
  <si>
    <t xml:space="preserve">اعمار و مدیریت آبریزه های کوچک بخاطر آبیاری 4 هکتارزمین للمی و بدون اب </t>
  </si>
  <si>
    <t>توزیع  500کیلوگرام کود عناصر کم مصرف</t>
  </si>
  <si>
    <t xml:space="preserve">اعمار و تجهیز ساختمان مرکز جمع آوری و سرد کن شیر و حفر چاه عمیق </t>
  </si>
  <si>
    <t>قرغه یی،مهترلام او بادپښ</t>
  </si>
  <si>
    <t>مهترلام،علیشنګ،علینګار او دولت شاه</t>
  </si>
  <si>
    <t xml:space="preserve">به سطح ولایت </t>
  </si>
  <si>
    <t>ایجاد (   59  ) ذخیره گاه پیاز، ایجاد  (  63  ) ذخیره گاه کچالو،    وتوزیع (   99 ) وسایل سولری خشک کنند میوه وسبزیجات</t>
  </si>
  <si>
    <t>توزیع بسته  های حمایوی برای 1170تن مستفدین مالداری از طبقه ذکورو اناث</t>
  </si>
  <si>
    <t>اعمار واحد های تولیدی کود عضوی برای باغچه های خانگی به تعداد 20 باب</t>
  </si>
  <si>
    <t>توزبع 29 بسته  وسایل باغداری برای کارمندان ترویج و دهاقین پیشقدم</t>
  </si>
  <si>
    <t xml:space="preserve"> دایر کردن 1305 جلسات آموزشی (مکتب دهقان در مزرعه) طبق فصل موسمی </t>
  </si>
  <si>
    <t>احداث 170هکتار باغهای جدید درختان مثمر</t>
  </si>
  <si>
    <t>ساختن 1باب سیلوی سایلج به ظرفیت 5 متریک تن و ترویج غرض بهبود تغذیه</t>
  </si>
  <si>
    <t>آموزش دهاقین که برای شان قطعه ایجاد گردیده ودهاقین همجوار زعفران کار مرد درزمینه تولید وایجاد مکتب دهقانی.</t>
  </si>
  <si>
    <t xml:space="preserve"> ایجاد  (   150) ذخیره کاه  کچالو، ایجاد (  71  ) سردخانه انرژی صفری  </t>
  </si>
  <si>
    <t xml:space="preserve">• ایجاد 63باب سلفر هاوس     
•توزیع بسته های زراعتی               </t>
  </si>
  <si>
    <t>حمایت از صنایع لبنیات خصوصی و اصلاح و بهتر سازی ساختمانها و تسهیلات موجوده در این عرصه ( حمایت مالی و تخیکی از 1باب مراکز جمع آوری شیر)</t>
  </si>
  <si>
    <t xml:space="preserve">توزیع 50 بسته از ادویه جات بیولوژیکی نباتی جهت کنترول آفات وامراض نباتی </t>
  </si>
  <si>
    <t>توزبع 23 بسته  وسایل باغداری برای کارمندان ترویج و دهاقین پیشقدم</t>
  </si>
  <si>
    <t xml:space="preserve"> دایر کردن  1035 جلسات آموزشی (مکتب دهقان در مزرعه) طبق فصل موسمی </t>
  </si>
  <si>
    <t>احداث 510.9 هکتار باغهای جدید درختان مثمر</t>
  </si>
  <si>
    <t xml:space="preserve">احداث 19.6هکتار باغهای متراکم و نیمه متراکم </t>
  </si>
  <si>
    <t>فراهم آوری تسهیلات جهت اهداث 15 قطعه نمایشی سایبین</t>
  </si>
  <si>
    <t>اعمار و تجهیز  ساختمان  یک باب  مرکز جمع آوری و سردکن شیر و حفر چاه عمیق</t>
  </si>
  <si>
    <t>ایجاد4 صنف مکتب
 مزرعه دهاقین</t>
  </si>
  <si>
    <t>مجادله علیه کرم قطع کننده سبزیجات ، گیاه هرزه ،،یوریا اسپری،</t>
  </si>
  <si>
    <t>ایجاد ( 14) باب ذخیره گاه گچالو</t>
  </si>
  <si>
    <t>در صورت حل مشکلات بودجه پروژه آغاز میگردد</t>
  </si>
  <si>
    <t xml:space="preserve">مرکز واما برګمتال نورګارم دواب </t>
  </si>
  <si>
    <t>واما وایګل مرکز</t>
  </si>
  <si>
    <t>توزیع 2بسته از لوازم پروسیس سبزیجات برای دهاقین طبقه اناث</t>
  </si>
  <si>
    <t>واما مرکز</t>
  </si>
  <si>
    <t>واما  مرکز</t>
  </si>
  <si>
    <t>توزبع 7بسته  وسایل باغداری برای کارمندان ترویج و دهاقین پیشقدم</t>
  </si>
  <si>
    <t>مرکز، واما وایګل</t>
  </si>
  <si>
    <t>مرکز،واما،وایګل، نورګرام</t>
  </si>
  <si>
    <t>مرکز، واما، وایگل، کامدیش، نورگرام و دوآب</t>
  </si>
  <si>
    <t>واما وایګل</t>
  </si>
  <si>
    <t>واما منډول وایګل</t>
  </si>
  <si>
    <t xml:space="preserve">توزیع 60متریک تن تخم اصلاح شده گندم بذری </t>
  </si>
  <si>
    <t>تمام واحد های اداری</t>
  </si>
  <si>
    <t>اعمار یک باب کمپلکس سردخانه عصری 5000 متریک تنه در ولایت کندز</t>
  </si>
  <si>
    <t>مجادله علیه کنه های نباتی،شپشک های نباتی،کرم سا قۀ شالی ، مگس خربوزه ،ملخ ،گیاه هرزه،،یوریا اسپری، لایم سلفر ،کرم قطع کننده سبزیجات  ،کرم ریشه خوار علفچرها ،موش .</t>
  </si>
  <si>
    <t>ایجاد (    105 ) ذخیره گاه پیاز، ایجاد (   3   ) سردخانه انرژی صفری  ایجاد ( 60) کشمش خانه های عصری وتوزیع (   50  ) وسایل سولری خشک کنند میوه وسبزیجات</t>
  </si>
  <si>
    <t>برنامه سرمایه گذاری انکشاف منابع آبی (Tranch 2) LKISP</t>
  </si>
  <si>
    <t xml:space="preserve">رییس زراعت ولایت </t>
  </si>
  <si>
    <t>قرارداد محلی برای احیا و باز سازی کانال های درجه دوم و سوم  غرو مدرسه</t>
  </si>
  <si>
    <t>قرارداد محلی برای احیا و باز سازی کانال های درجه دوم و سوم  یونس</t>
  </si>
  <si>
    <t>قرارداد محلی برای احیا و باز سازی کانال های درجه دوم و سوم  ترکمن شاخ</t>
  </si>
  <si>
    <t>قرارداد محلی برای احیا و باز سازی کانال های درجه دوم و سوم تازه لاقی ۲</t>
  </si>
  <si>
    <t>قرارداد محلی برای احیا و باز سازی کانال های درجه دوم و سوم  شیخ اباد</t>
  </si>
  <si>
    <t>قرارداد محلی برای احیا و باز سازی کانال های درجه دوم و سوم شهری دوم</t>
  </si>
  <si>
    <t>قرارداد محلی برای احیا و باز سازی کانال های درجه دوم و سوم  شهری اول</t>
  </si>
  <si>
    <t>قرارداد محلی برای احیا و باز سازی کانال های درجه دوم و سوم  قره کپه</t>
  </si>
  <si>
    <t>قرارداد محلی برای احیا و باز سازی کانال های درجه دوم و سوم  قلاچه</t>
  </si>
  <si>
    <t>قرارداد محلی برای احیا و باز سازی کانال های درجه دوم و سوم  محمد افضل</t>
  </si>
  <si>
    <t>قرارداد محلی برای احیا و باز سازی کانال های درجه دوم و سوم مدرسه قولاغ</t>
  </si>
  <si>
    <t>قرارداد محلی برای احیا و باز سازی کانال های درجه دوم و سوم کوترمه</t>
  </si>
  <si>
    <t>قرارداد محلی برای احیا و باز سازی کانال های درجه دوم و سوم کنم</t>
  </si>
  <si>
    <t>قرارداد محلی برای احیا و باز سازی کانال های درجه دوم و سوم گاوسنگ</t>
  </si>
  <si>
    <t>قرارداد محلی برای احیا و باز سازی کانال های درجه دوم و سوم بقال قشلاق</t>
  </si>
  <si>
    <t>قرارداد محلی برای احیا و باز سازی کانال های درجه دوم و سوم بابر شاخ</t>
  </si>
  <si>
    <t xml:space="preserve">قرارداد محلی برای احیا و باز سازی کانال های درجه دوم و سوم ارباب عزت الله </t>
  </si>
  <si>
    <t xml:space="preserve">قرارداد محلی برای احیا و باز سازی کانال های درجه دوم و سوم ارل </t>
  </si>
  <si>
    <t xml:space="preserve">حفاظت و تنظیم آبریزه کیسه توپک </t>
  </si>
  <si>
    <t xml:space="preserve">حفاظت و تنظیم آبریزه  کفتر جار </t>
  </si>
  <si>
    <t xml:space="preserve">حفاظت و تنظیم آبریزه کوتل کجک </t>
  </si>
  <si>
    <t xml:space="preserve">حفاظت و تنظیم آبریزه  دهوایران </t>
  </si>
  <si>
    <t xml:space="preserve"> حفاظت و تنظیم آبریزه قیران کجر </t>
  </si>
  <si>
    <t>پروژه بازسازی شبکه های درجه دوم و سوم مربوط کانال های عمومی لاقی٫ اقتیپه ٫ چهاردره و قلعه ذال  ( NCB006) که این قرارداد در ولایت متذکره شامل 107  کانال فرعی میباشد</t>
  </si>
  <si>
    <t>پروژه بازسازی شبکه های درجه دوم و سوم مربوط کانال های عمومی عبدالله ناقی و گل تپه (‌ NCB005) که این قرارداد در ولایت متذکره شامل 75  کانال فرعی میباشد</t>
  </si>
  <si>
    <t>تهیه چوچه ماهی برای فارم های ماهی پروری خصوصی که از قبل اعمار گردیده است</t>
  </si>
  <si>
    <t>توزیع چسپ های پیرامونی برای کنترول حشرات در 150 قطعات نمایشی باغها</t>
  </si>
  <si>
    <t>توزیع تلک های پیرامونی برای کنترول حشرات در 100قطعات نمایشی باغها</t>
  </si>
  <si>
    <t>ایجاد 2 مرکز خدمات برای دهاقین</t>
  </si>
  <si>
    <t xml:space="preserve"> دایر کردن  1260 جلسات آموزشی (مکتب دهقان در مزرعه) طبق فصل موسمی </t>
  </si>
  <si>
    <t>توزیع 6 پایه واترپمپ سولری برای آبیاری باغهای مثمر</t>
  </si>
  <si>
    <t>نصب سیستم چایله در  4هکتار باغهای انگور</t>
  </si>
  <si>
    <t>احیآ مجدد 10 هکتار باغهای کهنه</t>
  </si>
  <si>
    <t>1- روغنیات جهت آماده ساختن زمین توسط ماشین آلات زراعتی برای تجارب .
2-حفظ مراقبت وسایط ماشین الات زراعتی وزیربنا های فارم 
3-تهیه وخریداری کود کیمیاوی (دی ای پی و یوریا پوتاشیم ).
4- تهیه وخریداری انبارحیوانی  
5- تهیه وخریدای ادویجات کیمیاوی( آفت کش ،حشره کش، گیاه کش، قارچ کشها)
6- وسایل ترمیم ومواد کمیاوی برای لابراتوارمیوه جات 
7- تهیه وخریدار وسایل رفع حاصل میوه جات( کارتن، قطی، سبد، پاکت پلاستکی وغیره)                             8- تهیه وخریداری وسایل کار ( قیچی، اره، بیل، شاخی، تبر،کراچی دستی،)
9- مصارف انترنت برای یک  عدد مودیم جهت استفاده مامورین در امورات رسمی دفتر
10-   استخدام کارگرروزمزد به اساس ۲۶روزکاری برای مدت یک ماه به تعداد 145نفر بنابرضرورت به تعداد مختلف درروزکارخواهند کرد .</t>
  </si>
  <si>
    <t>فارم تحقیقاتی کندز - مرکز کندز</t>
  </si>
  <si>
    <t xml:space="preserve">اعمار حوض شستشو برای مواشی کوچی ها </t>
  </si>
  <si>
    <t xml:space="preserve">اعمار یکباب کلنیک حیوانی یک اطاقه </t>
  </si>
  <si>
    <t xml:space="preserve">اعمار (10 ) باب آبگردان  یا چکدم در علفچر ها  برای مواشی </t>
  </si>
  <si>
    <t xml:space="preserve">توزیع 730 متریک تن تخم اصلاح شده گندم بذری </t>
  </si>
  <si>
    <t>مرکز۱</t>
  </si>
  <si>
    <t>مجادله علیه کنه های ، آتشک سیب وناک،شپشک ها ی نباتی، مور پتدار ،کرم سا قۀ شالی ، مگس خربوزه ،ملخ ، فانغوزک کچالو،گیاه هرزه،،یوریا اسپری، لایم سلفر ،کرم قطع کننده سبزیجات  ،کرم ریشه خوار علفچرها ،موش .</t>
  </si>
  <si>
    <t>۱۲ولسوالی</t>
  </si>
  <si>
    <t>ایجاد (  56   ) ذخیره گاه پیاز، ایجاد  (   75 ) ذخیره گاه کچالو، ایجاد (   23   ) سردخانه انرژی صفری   وتوزیع (   8  ) وسایل سولری خشک کنند میوه وسبزیجات</t>
  </si>
  <si>
    <t xml:space="preserve">1-روغنیات برای آماده ساختن زمین توسط ماشین آلات زراعتی جهت کشت تجارب .
2- حفظ مراقبت وسایط، ماشین الات زراعتی وزیر بنا های فارم   .
3- تهیه وخریداری کود کیمیاوی (دی ای پی و یوریا) .
4- تهیه کود حیوانی.  . 
5- خریداری وسایل کار(بیل، کلند، شاخی، موزه، خریطه سانی، تک نمبر)   6- پرداخت فیس ماهانه انتر نت برای دو عدد مودیم برای مامورین جهت استفاده در امورات رسمی.  7-استخدام کارگرروزمزد به اساس روز کاری 30 نفر دریک ماه به اساس ضرورت به تعداد مختلف درروزکارمینمایند.        
</t>
  </si>
  <si>
    <t>فارم تحقیقاتی بهارک - ولسوالی بهارک</t>
  </si>
  <si>
    <t xml:space="preserve">فیض اباد ،ارگو جرم و یفتل پائین </t>
  </si>
  <si>
    <t xml:space="preserve">ریاست زراعت ولایت بدخشان </t>
  </si>
  <si>
    <t xml:space="preserve">توزیع 250 بسته از ادویه جات بیولوژیکی نباتی جهت کنترول آفات وامراض نباتی </t>
  </si>
  <si>
    <t xml:space="preserve"> دایر کردن 3 جلسه ( کورس های آموزشی ) برای آموزش دهنده گان (مسولین ولایتی, مامورین ترویج و دهاقین پیشقدم) </t>
  </si>
  <si>
    <t xml:space="preserve">درحال جریان </t>
  </si>
  <si>
    <t xml:space="preserve"> دایر کردن 1395 جلسات آموزشی (مکتب دهقان در مزرعه) طبق فصل موسمی </t>
  </si>
  <si>
    <t>احداث 170 هکتار باغهای جدید درختان مثمر</t>
  </si>
  <si>
    <t>توزیع  330 متریک تن  تخم گندم اصلاح شدۀ بذری</t>
  </si>
  <si>
    <t>قرارد داد محلی برای آیجاد آبریزه و ارتقای ظرفیت انجمن محافظت جنگلات (ابریزه کاکان)</t>
  </si>
  <si>
    <t>ارگو</t>
  </si>
  <si>
    <t>قرارد داد محلی برای آیجاد آبریزه و ارتقای ظرفیت انجمن محافظت جنگلات (ابریزه پینگانی)</t>
  </si>
  <si>
    <t>درایم</t>
  </si>
  <si>
    <t>قرارد داد محلی برای آیجاد آبریزه و ارتقای ظرفیت انجمن محافظت جنگلات (ابریزه باغ مبارک)</t>
  </si>
  <si>
    <t>بهارک</t>
  </si>
  <si>
    <t>قرارد داد محلی برای آیجاد آبریزه و ارتقای ظرفیت انجمن محافظت جنگلات (ابریزه حیرتان کلان)</t>
  </si>
  <si>
    <t xml:space="preserve">کشم </t>
  </si>
  <si>
    <t>قرارد داد محلی برای آیجاد آبریزه و ارتقای ظرفیت انجمن محافظت جنگلات( ابریزه پاهین شهر)</t>
  </si>
  <si>
    <t>قرارد داد محلی برای آیجاد آبریزه و ارتقای ظرفیت انجمن محافظت جنگلات ( ابریزه کوچه حصار)</t>
  </si>
  <si>
    <t>قرارد داد محلی برای آیجاد آبریزه و ارتقای ظرفیت انجمن محافظت جنگلات) ( آبریزه فرهاد ۱)</t>
  </si>
  <si>
    <t>قرارداد محلی برای احیا و باز سازی کانال های درجه دوم و سوم ( آبدره ٫ فرخاب و اوازکان کانال)</t>
  </si>
  <si>
    <t>شهدا</t>
  </si>
  <si>
    <t>قرارداد محلی برای احیا و باز سازی کانال های درجه دوم و سوم ( ملنگ آب و ساخه کانال)</t>
  </si>
  <si>
    <t>قرارداد محلی برای احیا و باز سازی کانال های درجه دوم و سوم ( عاشقان ٫ اسماعیل پسخم کانال)</t>
  </si>
  <si>
    <t>قرارداد محلی برای احیا و باز سازی کانال های درجه دوم و سوم ( گذره مدرسه و صندق کانال)</t>
  </si>
  <si>
    <t>جرم</t>
  </si>
  <si>
    <t>قرارداد محلی برای احیا و باز سازی کانال های درجه دوم ده قاضی و یاردار ( ده قاضی و یخدره کانال)</t>
  </si>
  <si>
    <t>پروژه بازسازی کانال  عمومی کوچه حصار (NCB-007)</t>
  </si>
  <si>
    <t>پروژه بازسازی شبکه های درجه دوم و سوم مربوط کانال های عمومی سیا آب، و فرهاد  ( NCB- 002)  که این قرارداد در ولایت متذکره شامل 27  کانال فرعی میباشد</t>
  </si>
  <si>
    <t xml:space="preserve">کشم و بهارک </t>
  </si>
  <si>
    <t>پروژه بازسازی شبکه های درجه دوم و سوم مربوط کانال های عمومی کوچه حصار‌ و  سر شهر (NCB-003)  که این قرارداد در ولایت متذکره شامل 27  کانال فرعی میباشد</t>
  </si>
  <si>
    <t>تهیه و توزیع تعداد ( 400) پکیج ارزش افزایی تخم بته های زیره برای اعضای انجمن های تنظیم علفچر ونباتات طبی  در 1 ولایت تحت پلان</t>
  </si>
  <si>
    <t>تهیه وتوزیع تعداد (20) پروژه عایداتی از طریق حفاظت و قرنطین بشکل طبیعی زیره در ساحه (300) هکتار  در 1 ولایت تحت پلان</t>
  </si>
  <si>
    <t>تهیه  و توزیع تعداد ( 400) پکیج احیا ساحات تخریب شده زیره برای انجمن های تنظیم علفچر و نباتات طبی شناسایی شده و جوامع محلی در ولایت تحت پلان</t>
  </si>
  <si>
    <t>ارتقاء ظرفیت تعداد (440) نفر اعضای انجمن ها و کارمندان فنی ساحوی جهت احیا و حفاظت 400هکتارساحات تخریب شده  نبات طبی زیره به شکل مصنوعی  در 1 ولایت</t>
  </si>
  <si>
    <t>موجودیت 50تخته لوحه معلوماتی کوچک ، متوسط و بزرگ برای پارک ملی واخان</t>
  </si>
  <si>
    <t>واخان</t>
  </si>
  <si>
    <t>ولسوالی کشم</t>
  </si>
  <si>
    <t xml:space="preserve">احیای فارم و حفاظت فارمها </t>
  </si>
  <si>
    <t xml:space="preserve">به تعدیل پیشنهاد شده </t>
  </si>
  <si>
    <t>به واتر پیمپ های سولری ضرورت نبود به عوض آن پیپ ضرورت بود ، پایپ خریداری شده است .</t>
  </si>
  <si>
    <t xml:space="preserve">احداث 15 قطعه نمایشی سایبین در کشت خزانی  و تجلیل روز مزرعه </t>
  </si>
  <si>
    <t>اعمار کشمش خانه ها از طریق پروژه مدیریت محصولات زراعتی تطبیق میگردد</t>
  </si>
  <si>
    <t xml:space="preserve"> ۱۰ ولسوالی</t>
  </si>
  <si>
    <t>د شولو نمایشی قطعاتو احداث</t>
  </si>
  <si>
    <t>۱۰۰قطعاتو احداثول او د سامان الاتو توزیع کول</t>
  </si>
  <si>
    <t>در صورت حل مشکل  فعالیت در آینده تطبیق خواهد شد</t>
  </si>
  <si>
    <t xml:space="preserve">بعوض آن پیاز زعفران برای ایجاد قطعات زعفران خریداری شد </t>
  </si>
  <si>
    <t xml:space="preserve">بودجه آن به فارم مالداری بینیحصار تعدیل شده </t>
  </si>
  <si>
    <t xml:space="preserve"> ریاست توسعه غله جات </t>
  </si>
  <si>
    <t>تعدیل</t>
  </si>
  <si>
    <t>مجموع فعالیت های برنامه تنظیم منابع طبعی به اشتراک جامعه به شمول 70000 افغانی مصارف اداری  مبلغ( 2125000) افغانی میباشد</t>
  </si>
  <si>
    <t xml:space="preserve">احیای 40 هکتار جنگل چهارمغز(با تطبیق 7 فعالیت فوق الذکرصورت میگیرد) </t>
  </si>
  <si>
    <t>در سال 1400 قرار است در پلان تطبیقی در نظر گرفته شود.</t>
  </si>
  <si>
    <t>به نسبت مشکلات بودجه پروژه توقف گردید.</t>
  </si>
  <si>
    <t>ر</t>
  </si>
  <si>
    <t>از طریق مشوره ترویج بدون هزینه صورت میگرد.</t>
  </si>
  <si>
    <t>از طریق مشوره ترویجی بدون هزینه صورت میگرد</t>
  </si>
  <si>
    <t xml:space="preserve">  </t>
  </si>
  <si>
    <t>از طریق مشوره های ترویجی بدون هزینه تطبیق مییگردد</t>
  </si>
  <si>
    <t>از طریق مشوره های ترویجی بدون هزینه تطبیق میگردد</t>
  </si>
  <si>
    <t>N</t>
  </si>
  <si>
    <t xml:space="preserve">بجای پروژه متذکره ذخیره پیاز ،کچالو و  سرد خانه های صفری  و کشمش خانه ها ساخته شده است </t>
  </si>
  <si>
    <t>بجای پروژه متذکره ذخیره گاه پیاز، کچالو،  ساخته شد</t>
  </si>
  <si>
    <t xml:space="preserve">اعمار ذخیره گاه های پیاز و کچالو و سرد خان ه ها ی صفری از ساخته شده است </t>
  </si>
  <si>
    <t xml:space="preserve">به عوض آن اعمار ذخیره گاه های پیاز و کشمش خانه و سرد خانه ها ی صفری از ساخته شده است </t>
  </si>
  <si>
    <t xml:space="preserve">ایجاد 1 باب مرکز آموزشی دهاقین </t>
  </si>
  <si>
    <t xml:space="preserve">کنترول امراض زمستانی و تابستانی در 350 جریب باغات مثمر </t>
  </si>
  <si>
    <t xml:space="preserve">به عوض آن اعمار ذخیره گاه های پیاز و کچالو و  ساخته شده است </t>
  </si>
  <si>
    <t xml:space="preserve">کنترول امراض زمستانی و تابستانی در 250 جریب باغات مثمر </t>
  </si>
  <si>
    <t xml:space="preserve"> ایجاد (    155 ) کشمش خانه های عصری وتوزیع (  30   ) وسایل سولری خشک کنند میوه وسبزیجات</t>
  </si>
  <si>
    <t>بجای پروژه متذکره ذخیره گاه پیاز، کشمش خانه ها،  ساخته شد</t>
  </si>
  <si>
    <t>به عوض آن دخیره خانه پیاز و کچالو و سرد خانه های صفری ساخته میشود</t>
  </si>
  <si>
    <t>بجای پروژه متذکره ذخیره گاه پیاز، کچالو، و کشمش خانه ها ساخته شد</t>
  </si>
  <si>
    <t>بجای پروژه متذکره ذخیره گاه پیاز، کچالو، وسرد خانه های صفری ساخته میشود</t>
  </si>
  <si>
    <t>بجای پروژه متذکره ذخیره گاه پیاز، کچالو،   و کشمش خانه ها ساخته شد</t>
  </si>
  <si>
    <t>بجای پروژه متذکره ذخیره گاه ، کچالو،  ساخته شد</t>
  </si>
  <si>
    <t xml:space="preserve">کنترول امراض زمستانی و تابستانی در 200 جریب باغات مثمر </t>
  </si>
  <si>
    <t>به نسبت عدم انتقال بودجه و گذشت فصل کشت  در سال روان فعالیت تطبیق نمی گردد</t>
  </si>
  <si>
    <t>بجای پروژه متذکره ذخیره  کچالو،  و سرد خانه ها  صفر انرژی ساخته شد</t>
  </si>
  <si>
    <t>بار دوم به اعلان تدارکاتی سپرده شده است .</t>
  </si>
  <si>
    <t xml:space="preserve">احداث 80 قطعه نمایشی شالی </t>
  </si>
  <si>
    <t>بجای پروژه متذکره ذخیره گاه پیاز، , سولر های خشک کن  ساخته شد</t>
  </si>
  <si>
    <t xml:space="preserve">در مرکز </t>
  </si>
  <si>
    <t xml:space="preserve">ایجاد 1 مراکزآموزشی برای دهاقین </t>
  </si>
  <si>
    <t xml:space="preserve">بجای پروژه متذکره ذخیره کچالو و کشمش خانه ها و سرد خانه های صفری  ساخته شده است </t>
  </si>
  <si>
    <t xml:space="preserve">کنترول امراض زمستانی و تابستانی در 300 جریب باغات مثمر </t>
  </si>
  <si>
    <t xml:space="preserve">بجای پروژه متذکره ذخیره پیاز ،کچالو و کشمش خانه ها و سرد خانه های صفری  ساخته شده است </t>
  </si>
  <si>
    <t xml:space="preserve">بجای پروژه متذکره ذخیره پیاز ،کچالو و  سرد خانه های صفری  ساخته شده است </t>
  </si>
  <si>
    <t xml:space="preserve"> ایجاد  (  320  )  ذخیره کچالو، ایجاد (    20  ) سردخانه انرژی صفری  سیب و20 ذخیره پیاز </t>
  </si>
  <si>
    <t xml:space="preserve">ایجاد 1باب مرکز  آموزشی  دهاقین </t>
  </si>
  <si>
    <t xml:space="preserve">به عوض آن سرد خانه های صفر انرژی و کشمش خانه ساخته شده است </t>
  </si>
  <si>
    <t xml:space="preserve">بجای پروژه متذکره ذخیره پیاز ،کچالو و  سرد خانه های صفری  وساخته شده است </t>
  </si>
  <si>
    <t xml:space="preserve">تکیمل گردیده است </t>
  </si>
  <si>
    <t xml:space="preserve">بودجه به وقت مناسب انتقال نشد وقت کشت گذشت </t>
  </si>
  <si>
    <t>در سال آینده درنظر گرفته میشود .</t>
  </si>
  <si>
    <t xml:space="preserve">بجای پروژه متذکره ذخیره خانه کچالو و  سرد خانه های صفری   ساخته شده است </t>
  </si>
  <si>
    <t>کنترول امراض زمستانی و تابستانی در 150 جریب باغات مثمر</t>
  </si>
  <si>
    <t>بودجه  به وقت معینه نرسید فصل کشت گذشت واز تطبیق باز مانده است</t>
  </si>
  <si>
    <t xml:space="preserve">در سال آینده در نظر گرفته میشود </t>
  </si>
  <si>
    <t xml:space="preserve">بجای پروژه متذکره ذخیره پیاز ،کچالو و  سرد خانه های صفری   ساخته شده است </t>
  </si>
  <si>
    <t xml:space="preserve">ایجاد 220 قطعه نمایشی شالی </t>
  </si>
  <si>
    <t xml:space="preserve">ایجاد 1 مراکز آموزشی دهاقین </t>
  </si>
  <si>
    <t xml:space="preserve">کنترول امراض زمستانی و تابستانی در در 300 جریب باغات مثمر </t>
  </si>
  <si>
    <t xml:space="preserve">بجای پروژه متذکره کشمش خانه ها و سرد خانه های صفری  ساخته شده است </t>
  </si>
  <si>
    <t xml:space="preserve"> ۳ولسوالی</t>
  </si>
  <si>
    <t>مجادله علیه کنه های نباتی، مور خیمه ساز ،گیاه هرزه،،یوریا اسپری، موش ، کرم قطع کننده سبزیجات.</t>
  </si>
  <si>
    <t>۲ولسوالی</t>
  </si>
  <si>
    <t xml:space="preserve">ایجاد4 صنف مکتب 
مزرعه دهاقین
ایجادیک صنف مکتب مزرعه دهاقین 
برای خانم ها </t>
  </si>
  <si>
    <t xml:space="preserve">ولسوالی   ناد علی ومرکز ولایت </t>
  </si>
  <si>
    <t xml:space="preserve">توزیع وسایل پروسس مواد غذائی </t>
  </si>
  <si>
    <t>پروسه پرداخت پول جریان دارد</t>
  </si>
  <si>
    <t>۳ولسوالی</t>
  </si>
  <si>
    <t>مجادله علیه کنه های نباتی، کفشک گندم ،مگس خربوزه ،گیاه هرزه،،یوریا اسپری، موش ، کرم قطع کننده سبزیجات.</t>
  </si>
  <si>
    <t>۴ولسوالی</t>
  </si>
  <si>
    <t>ایجاد8 صنف مکتب 
مزرعه دهاقین ، ایجادیک صنف مکتب مزرعه دهاقین برای خانم ها</t>
  </si>
  <si>
    <t>وصل ریاست زراعت آبیاری و مالداری به تیلفون های داخلی (VoIP)</t>
  </si>
  <si>
    <t>۱ولسوالی</t>
  </si>
  <si>
    <t>مجادله علیه  شپشک های نباتی،مگس خربوزه ،گیاه هرزه،،یوریا اسپری، موش .</t>
  </si>
  <si>
    <t xml:space="preserve">ایجاد6 صنف مکتب 
مزرعه دهاقین،ایجادیک صنف مکتب مزرعه دهاقین برای خانم ها </t>
  </si>
  <si>
    <t xml:space="preserve">دره ،خنج و مرکز ولایت </t>
  </si>
  <si>
    <t xml:space="preserve">توزیع 2880 قطعه مرغ با وسایل مرغداری </t>
  </si>
  <si>
    <t xml:space="preserve">تدویر کوس های آموزشی مرغداری </t>
  </si>
  <si>
    <t>مجادله علیه ،شپشک های نباتی،مورپتدار ،ملخ ،گیاه هرزه،،یوریا اسپری، لایم سلفر ،کرم قطع کننده سبزیجات  ،موش .</t>
  </si>
  <si>
    <t xml:space="preserve">ولایت پنجشیر ولسوالی عنابه  قریه دشتک </t>
  </si>
  <si>
    <t>70%باقیمانده کار گدام 3000تنه ذخایر در ولایت پنجشیر</t>
  </si>
  <si>
    <t>مشکلات تخنیکی</t>
  </si>
  <si>
    <t>در صورت رفع مشکل پروژه آغاز میگردد</t>
  </si>
  <si>
    <t xml:space="preserve">10 ولسوالی </t>
  </si>
  <si>
    <t>تحت پروسه تدارکاتی است</t>
  </si>
  <si>
    <t xml:space="preserve">آموزش برای 668 کارمندان و دهاقین </t>
  </si>
  <si>
    <t xml:space="preserve">حمایت وآموزش برای 170 زنان زراعت پیشه </t>
  </si>
  <si>
    <t>حمایت از برنامه اموزشی حرفوی برای 7 جوانان</t>
  </si>
  <si>
    <t xml:space="preserve">تهیه 5 کلیپ ویدیو برای دهاقین و مالداران </t>
  </si>
  <si>
    <t xml:space="preserve">تهیه کود کیمیاوی و تخم های بذری اصلاح شده برای 2339 خانواده </t>
  </si>
  <si>
    <t>خریداری 1 بسته ماشین آلات زراعتی برای FLRC از قبیل تراکتور، تریشر، لیزرلیول و سایر ماشین آلات دیگر</t>
  </si>
  <si>
    <t xml:space="preserve">تهیه و خریداری 25 عراده موتر سایکل </t>
  </si>
  <si>
    <t xml:space="preserve">حمایت از قوریه جات و ترتیب برنامه های آموزشی در بخش قوریه برای 111 گروپ دهاقین </t>
  </si>
  <si>
    <t xml:space="preserve">تقویت 5 باب گروپهای پروسس خانم ها </t>
  </si>
  <si>
    <t xml:space="preserve">کمک نمودن تخنیکی کمپنی های پروسس 6 دفعه </t>
  </si>
  <si>
    <t xml:space="preserve">حمایت فارم های ماهی پروری، زنبور عسل، بودنه، مشروم و مرغداری </t>
  </si>
  <si>
    <t xml:space="preserve">ارتقا ظرفیت و لوازم و وسایل برای گروپ ها 4 دفعه </t>
  </si>
  <si>
    <t xml:space="preserve">دایر نمودن 8 بار جلسات بین دهاقین و تجاران و تطبیق مادل 4P </t>
  </si>
  <si>
    <t xml:space="preserve">مرتبط ساختن تجاران همرای 4 باب مراکز معلوماتی و آموزشی دهاقین </t>
  </si>
  <si>
    <t xml:space="preserve">تهیه نمودن لوازم پروسس برای 133 دهاقین </t>
  </si>
  <si>
    <t xml:space="preserve">تهیه و خریداری 10 متریک تن خوراکه حیوانی برای مالداران </t>
  </si>
  <si>
    <t xml:space="preserve">انتخاب مستفیدین پروژه کمک به فقرا ( TUP) برای 500 خانواده </t>
  </si>
  <si>
    <t>ایجاد و تجهیز 1 باب مراکز آموزشی دهاقین FLRC</t>
  </si>
  <si>
    <t xml:space="preserve">ایجاد 19 باب گل خانه </t>
  </si>
  <si>
    <t xml:space="preserve">دیزاین این پروژه تکمیل گردیده است اما بنابر بلند بودن هزینه فی واحد در سال جاری بودجه کافی از طرف وزارت مالیه در اختیار این وزارت قرار نگرفته بناءً تطبیق آن آغاز نگردیده است </t>
  </si>
  <si>
    <t xml:space="preserve">خواجه دوکوه، فیض آباد و خانقا </t>
  </si>
  <si>
    <t>پروژه کاهشدهی خطرات ناشی از تغیر اقلیم (CDRRP)(EBP/00101512)</t>
  </si>
  <si>
    <t>ایجاد 50 باب سبز خانه های عصری کوچک وبزرگ</t>
  </si>
  <si>
    <t>توزیع پیاز و وسایل کشت زعفران به 80 مستفد شونده کان</t>
  </si>
  <si>
    <t xml:space="preserve">به دلیل همه گیری ویروس کرونا و اعمال قرنطین در فصل کشت زعفران تطبیق این فعالیت از پلان بازمانده </t>
  </si>
  <si>
    <t xml:space="preserve">سال بعدی تطبیق میگردد </t>
  </si>
  <si>
    <t>خواجه دوکوه</t>
  </si>
  <si>
    <t>ایجاد 1 باب مرکز پروسس لبنیات</t>
  </si>
  <si>
    <t xml:space="preserve">فیض آباد و خانقا </t>
  </si>
  <si>
    <t xml:space="preserve">احداث 10 باب قوریه در حتان مغزباب </t>
  </si>
  <si>
    <t>اعمار یک باب ساختمان شلتر چندین منظوره</t>
  </si>
  <si>
    <t>اعمار دیوار استنادی سالتق افغانیه  به طول 1240 متر</t>
  </si>
  <si>
    <t>فیض آباد</t>
  </si>
  <si>
    <t>اعمار 2 ذخایر اب</t>
  </si>
  <si>
    <t>اعمار کانال حیدر آباد  به طول 1350 متر</t>
  </si>
  <si>
    <t>توسعه صنایع دستی 40 زن</t>
  </si>
  <si>
    <t>۵ولسوالی</t>
  </si>
  <si>
    <t>مجادله علیه کنه های ، شپشک ها ی نباتی، ، مگس خربوزه ،ملخ ، کفشک گندم،گیاه هرزه،،یوریا اسپری، لایم سلفر ،کرم قطع کننده سبزیجات  ،کرم ریشه خوار علفچرها ،موش .</t>
  </si>
  <si>
    <t>مجادله علیه کنه های ، شپشک ها ی نباتی، مور پتدار ، مگس خربوزه ،ملخ ، کفشک گندم، قانغوزک کچالو ، گیاه هرزه،،یوریا اسپری، لایم سلفر ،کرم نقب زن برگ خوار بادینجان رومی ،کرم قطع کننده سبزیجات  ،کرم ریشه خوار علفچرها ،موش .</t>
  </si>
  <si>
    <t>مرکز ولایت شهر ایبک</t>
  </si>
  <si>
    <t>تقویت زراعت وانکشاف دهات در زون غرب(SARD)</t>
  </si>
  <si>
    <t xml:space="preserve">ترمیم تعمیر یونت ترویجی گذره </t>
  </si>
  <si>
    <t>اعمار هنگر ذخیره برای یونت ترویجی غوریان</t>
  </si>
  <si>
    <t>کشور ایتالیا</t>
  </si>
  <si>
    <t>تهیه پکیج باغداری ، زعفران و زنبور داری برای انجمن ها</t>
  </si>
  <si>
    <t xml:space="preserve">تجهیز انجمن زعفرانکار درکرخ </t>
  </si>
  <si>
    <t>ترمیم تعمیر سه اطاقه مربوط به یونت ترویجی برای جلسات انجمن ها</t>
  </si>
  <si>
    <t>مصارف تفتیش</t>
  </si>
  <si>
    <t xml:space="preserve">ولسوالی گذره قریه دی تپه </t>
  </si>
  <si>
    <t>پروژه ذخایر استراتیژیک غله جات(ُSGRP)</t>
  </si>
  <si>
    <t>آغاز کار ساختمانی سیلو فلزی هرات</t>
  </si>
  <si>
    <t xml:space="preserve">بودجه این فعالیت در بخش مدیر یت مبارزه با کرونا تعدیل شده است </t>
  </si>
  <si>
    <t xml:space="preserve">فعلآ پروژه بسته شده است </t>
  </si>
  <si>
    <t>۸ولسوالی</t>
  </si>
  <si>
    <t>مجادله علیه خاکسترک تاک ،شپشک های نباتی،مگس خربوزه ،کفشک گندم،گیاه هرزه،،یوریا اسپری، کرم قطع کننده سبزیجات ، امراض وآفات زعفران ،موش .</t>
  </si>
  <si>
    <t xml:space="preserve">غوریان </t>
  </si>
  <si>
    <t xml:space="preserve">بازسازی کانال روشنان </t>
  </si>
  <si>
    <t>زنده جان، شیندند، زیر کوه، پشتون زرغون، اوبه، کوهشان، کرخ، رباط سنگی، گذره، گلران، غوریان، فارسی، انجیل، چشت شریف، اندر سکن</t>
  </si>
  <si>
    <t xml:space="preserve"> بهبود سیستم و دسترسی کوچی ها به عرضه خدمات صحت حیوانی با کیفیت برای 42 نفر</t>
  </si>
  <si>
    <t xml:space="preserve"> ارتقاء سطح آگاهی کوچیان مالدار از طریق عرضه خدمات توسعوی و ترویجی در موارد مختلف مالداری به ویژه خوراکه حیوانی برای 1404 نفر</t>
  </si>
  <si>
    <t xml:space="preserve">حمایت تخنیکی در مورد بدست آوردن محصولات حیوانی با کیفیت برای 110
</t>
  </si>
  <si>
    <t>بازاریابی برای محصولات حیوانی کوچی ها برای 167 نفر</t>
  </si>
  <si>
    <t>حمایت تخنیکی و فراهم نمودن تسهیلات در ساحات تحت پوشش برای 34 نفر</t>
  </si>
  <si>
    <t>گذره</t>
  </si>
  <si>
    <t xml:space="preserve">احیا و بازسازی شبکه آبیاری خالچان  </t>
  </si>
  <si>
    <t xml:space="preserve">احیا و بازسازی شبکه آبیاری تلاس </t>
  </si>
  <si>
    <t>زنده جان،  پشتون زرغون، کرخ، رباط سنگی، گذره، غوریان، انجیل</t>
  </si>
  <si>
    <t xml:space="preserve">آموزش برای 148 باغدار در بخش باغداری </t>
  </si>
  <si>
    <t xml:space="preserve">آموزش برای 155 کارمندان در بخش زراعت آبی 
</t>
  </si>
  <si>
    <t xml:space="preserve">ارتقا ظرفیت برای 167 گروپ های دهاقین </t>
  </si>
  <si>
    <t xml:space="preserve">برنامه اموزشی للمی و ابی برای 100 دهقان </t>
  </si>
  <si>
    <t xml:space="preserve">ترمیم و تجهیز مراکز اموزش و معلومات، حمایت زراعت الکترونیکی و احداث 11 باب سبزخانه ها زراعتی </t>
  </si>
  <si>
    <t xml:space="preserve">احداث نمودن 15 باب گرین هوسهای بزرگ برای دهاقین </t>
  </si>
  <si>
    <t xml:space="preserve">تدویر کورس های اموزشی برای 80 مالدار </t>
  </si>
  <si>
    <t xml:space="preserve">تدویر کورس مرغداری و  خریداری بسته های مرغداری برای 501 خانم </t>
  </si>
  <si>
    <t>تدویر کورس های آموزشی کشمیره و خریداری بسته های مربوط آن برای 210 مالدار</t>
  </si>
  <si>
    <t xml:space="preserve">توزیع 863 قرضه های زراعتی و مالداری برای دهاقین و مالداران </t>
  </si>
  <si>
    <t>اعمار یک باب کمپلکس سردخانه عصری 5000 متریک تنه در ولایت هرات</t>
  </si>
  <si>
    <t>در صورت دریافت بودجه  پروژه آغاز میگردد</t>
  </si>
  <si>
    <t xml:space="preserve">ولسوالی های چهار گانه اندخوی </t>
  </si>
  <si>
    <t xml:space="preserve">تدویر کوس آموزشی گاو داری برای 90 نفر </t>
  </si>
  <si>
    <t xml:space="preserve">7 ولسوالی </t>
  </si>
  <si>
    <t>مجادله علیه خاکسترک تاک ، کنه های ، شپشک ها ی نباتی، مور پتدار ، مگس خربوزه ،ملخ ، کفشک گندم،گیاه هرزه،،یوریا اسپری، لایم سلفر  ،کرم قطع کننده سبزیجات  ،کرم ریشه خوار علفچرها ،موش .</t>
  </si>
  <si>
    <t xml:space="preserve">2ولسوالی </t>
  </si>
  <si>
    <t xml:space="preserve">مرکز میمنه </t>
  </si>
  <si>
    <t>کمپکشن کاری ،جغل اندازی وهموار کاری ساحه 4064مترمکعب صحن گدام 5000تنه ذخایر غله جات در ولایت فاریاب.</t>
  </si>
  <si>
    <t xml:space="preserve">مرکز واما </t>
  </si>
  <si>
    <t xml:space="preserve">مرکز نورګرام </t>
  </si>
  <si>
    <t>تدویر برنامه های آموزشی برای 100 زن</t>
  </si>
  <si>
    <t xml:space="preserve">تکمیل است </t>
  </si>
  <si>
    <t xml:space="preserve">4 ولسوالی </t>
  </si>
  <si>
    <t>احداث باغات متراکم (50 جریب)</t>
  </si>
  <si>
    <t xml:space="preserve">شرکت تهیه کننده از تهیه آن منصرف گردیده است </t>
  </si>
  <si>
    <t xml:space="preserve">مکتوب آن جهت طی مراحل به مرجع مربوطه ارسال گردیده است </t>
  </si>
  <si>
    <t>پروپوژل توسط سکتور خصوصی ترتیب گردیده است بخش تجارت زراعتی پروژه 
در حال ترتیب راپور نهایی  مطالعات امکان سنجی   پروژه  (SIR) برای ADB میباشد</t>
  </si>
  <si>
    <t xml:space="preserve">چون سفرهای خارجی و داخلی به اساس  ویروس کرونا ممنوع است فلهنذا اجرا نشد </t>
  </si>
  <si>
    <t xml:space="preserve">در سال بعدی در نطر است </t>
  </si>
  <si>
    <t>برنامه رشد زراعت، و انکشاف روستائی CBARD</t>
  </si>
  <si>
    <t xml:space="preserve">دالر </t>
  </si>
  <si>
    <t xml:space="preserve">مجادله علیه کنه های نباتی، مور پتدار ، ملخ کرم تخم خوار سیب ، گیاه هرزه
،لایم سلفر،یوریا اسپری، موش </t>
  </si>
  <si>
    <t xml:space="preserve">اعمار تعمیر دو اتاقه لابراتوار تشخیص امراض
وآفات نباتی </t>
  </si>
  <si>
    <t xml:space="preserve">بودجه آن در بخش خریداری  آفتکشها  جهت مبارزه با آفات و امراض نباتی تعدیل گردیده است </t>
  </si>
  <si>
    <t xml:space="preserve">در صورت موجودیت بودجه در سال آینده در نظر گرفته میشود </t>
  </si>
  <si>
    <t>ولسوالی: سید اباد٫ مرکز٫ نرخ</t>
  </si>
  <si>
    <t>اعمار ذخایر صفر انرزی پیاز 35 باب</t>
  </si>
  <si>
    <t>ولسوالی:دی مرداد ٫ چک</t>
  </si>
  <si>
    <t>ولسوالی: سید اباد٫ مرکز٫ نرخ٫ دی مرداد</t>
  </si>
  <si>
    <t xml:space="preserve">اعمار ‌ذخایر صفر انرژی کچالو 108 باب </t>
  </si>
  <si>
    <t xml:space="preserve">ایجاد باغات متراکم۳۵ جریب </t>
  </si>
  <si>
    <t>برای ایجاد فعالیت متذکره تا اکنون کدام پروپوزل دریافت نګردیده است</t>
  </si>
  <si>
    <t xml:space="preserve">مرکز پل علم </t>
  </si>
  <si>
    <t xml:space="preserve">توزیع تخم سبزیجات به 30 زن </t>
  </si>
  <si>
    <t xml:space="preserve">3 ولسوالی </t>
  </si>
  <si>
    <t>مجادله علیه کنه های نباتی، کرم تخم خوار سیب ، ملح  ، کرم قطع کننده سبزیجات ، گیاه هرزه ،،لایم سلفر،یوریا اسپری،،</t>
  </si>
  <si>
    <t xml:space="preserve">ایجاد 6صنف مکتب مزرعه دهاقین </t>
  </si>
  <si>
    <t xml:space="preserve">در مرکز ولایت </t>
  </si>
  <si>
    <t xml:space="preserve">اعمار یک باب 
گدام 250 متریک تن </t>
  </si>
  <si>
    <t>در صورت موجودیت بودجه در سال بعدی در نظر گرفته میشود</t>
  </si>
  <si>
    <t>ولسوالی: پل علم٫ محمد اغه٫ چرخ</t>
  </si>
  <si>
    <t>اعمار 79 باب ذخیره خانه صفر انرژی کچالو</t>
  </si>
  <si>
    <t>ولسوالی: پل علم٫ محمد اغه</t>
  </si>
  <si>
    <t xml:space="preserve">اعمار کشمش خانه ها 28 باب </t>
  </si>
  <si>
    <t>ولسوالی: پل علم٫ محمد اغه٫ چرخ٫ خوشی</t>
  </si>
  <si>
    <t xml:space="preserve">توزیع 28 پایه خشکن آفتاتی </t>
  </si>
  <si>
    <t>ولسوالی: محمد اغه ٫ پل علم ٫ چرخ</t>
  </si>
  <si>
    <t xml:space="preserve">اعمار 91 باب ذخیره خانه صفر انرژی پیاز </t>
  </si>
  <si>
    <t xml:space="preserve">ایجاد چیله عصری برا ی باغات انگور  ۵ هکتار </t>
  </si>
  <si>
    <t xml:space="preserve">نصب سیستم چیله در باغات میوه جات ۲ هکتار </t>
  </si>
  <si>
    <t xml:space="preserve">ایجاد باغات متراکم ۴۲ جریب </t>
  </si>
  <si>
    <t xml:space="preserve">محمد آغه </t>
  </si>
  <si>
    <t xml:space="preserve">بازسازی کاریز کولی </t>
  </si>
  <si>
    <t xml:space="preserve">بازسازی کانال دک قلعه </t>
  </si>
  <si>
    <t xml:space="preserve">بازسازی کانال کوتگی </t>
  </si>
  <si>
    <t>بازسازی کانال بورگ</t>
  </si>
  <si>
    <t>برکی برک</t>
  </si>
  <si>
    <t>بازسازی سربند سر سنگ</t>
  </si>
  <si>
    <t xml:space="preserve">بازسازی کانال زرغون خار </t>
  </si>
  <si>
    <t>پل علم</t>
  </si>
  <si>
    <t xml:space="preserve">بازسازی کانال شولک لوی و ولکی </t>
  </si>
  <si>
    <t>بازسازی کانال سردار</t>
  </si>
  <si>
    <t xml:space="preserve">بازسازی کانال دهنه شاه </t>
  </si>
  <si>
    <t>بازسازی کانال دهنه زرداد</t>
  </si>
  <si>
    <t xml:space="preserve">بازسازی کانال دهنه حاجی کلیم </t>
  </si>
  <si>
    <t xml:space="preserve">برکی برک، پل علم، محمد آغه </t>
  </si>
  <si>
    <t>خریداری سمین استرا جهت تلقیح گاوها برای 1668 راس گاو</t>
  </si>
  <si>
    <t>تدویر کورس های آموزشی جهت بلند بردن ظرفیت مالداران، کارمندان پروژه و مارمورین ذیدخل وزارت برای 1050 نفر</t>
  </si>
  <si>
    <t>تدارک و توذيع بسته های مرغهای تخمي برای 344 نفر</t>
  </si>
  <si>
    <t xml:space="preserve">تدویر کورس های آموزشی برای 667 مستفیدین </t>
  </si>
  <si>
    <t>برکی برک، پل علم، محمد آغه، خوشی، چرخ، اذره</t>
  </si>
  <si>
    <t xml:space="preserve"> بهبود سیستم و دسترسی کوچی ها به عرضه خدمات صحت حیوانی با کیفیت برای 40 نفر</t>
  </si>
  <si>
    <t xml:space="preserve"> ارتقاء سطح آگاهی کوچیان مالدار از طریق عرضه خدمات توسعوی و ترویجی در موارد مختلف مالداری به ویژه خوراکه حیوانی برای 1303 نفر</t>
  </si>
  <si>
    <t>بازاریابی برای محصولات حیوانی کوچی ها برای 189 نفر</t>
  </si>
  <si>
    <t>خریداری تخم بنیادی و کود کیمیاوی برای شرکت های تولید تخم (۹ شرکت تحت پوشش)</t>
  </si>
  <si>
    <t>احیا و بازسازی آبگیر چلو</t>
  </si>
  <si>
    <t>چرخ</t>
  </si>
  <si>
    <t>احیا و بازسازی آبگیر پستک</t>
  </si>
  <si>
    <t xml:space="preserve">احیا و بازسازی آبگیر آخوند زاده خیل </t>
  </si>
  <si>
    <t xml:space="preserve">احیا و بازسازی آبگیر و شبکه آبیاری عنایت </t>
  </si>
  <si>
    <t xml:space="preserve">احیا و بازسازی آبگیر شاغاسی </t>
  </si>
  <si>
    <t xml:space="preserve">احیا و بازسازی آبگیر و شبکه آبیاری نل آب </t>
  </si>
  <si>
    <t xml:space="preserve">حمایت وآموزش برای 40 زنان زراعت پیشه </t>
  </si>
  <si>
    <t xml:space="preserve">بنابر شیوع ویروس کرونا و تصمیم دونر تطبیق نگردیده است </t>
  </si>
  <si>
    <t xml:space="preserve">برنامه اموزشی زراعت للمی و ابی برای 24 دهقان </t>
  </si>
  <si>
    <t xml:space="preserve">انتخاب مستفیدین پروژه کمک به فقرا ( TUP) برای 250 خانواده </t>
  </si>
  <si>
    <t>مهترلام و   قرغه ئی</t>
  </si>
  <si>
    <t>توزیع 2880 قطعه مرغ با وسایل مرغداری ،</t>
  </si>
  <si>
    <t>مجادله علیه کنه های نباتی،
مور لشکری، سیاه قاق گندم ،کرم ساقۀ شالی ، کرم قطع کننده سبزیجات ، گیاه هرزه ،،لایم سلفر،یوریا اسپری،تاک،</t>
  </si>
  <si>
    <t>ایجاد 8 صنف مکتب 
مزرعه دهاقین</t>
  </si>
  <si>
    <t xml:space="preserve">احداث باغات تجارتی خرما 25 جریب </t>
  </si>
  <si>
    <t xml:space="preserve">قرغه یی ٫ مهترلام </t>
  </si>
  <si>
    <t xml:space="preserve"> ولسوالی دامان  ومرکز ولایت </t>
  </si>
  <si>
    <t xml:space="preserve">شهر کندهار </t>
  </si>
  <si>
    <t>آغاز کار ساختمانی سیلو فلزی کندهار</t>
  </si>
  <si>
    <t>مجادله علیه کنه های نباتی، خاکسترک تاک، کرم تاج انار ،گیاه هرزه،لایم سلفر،یوریا اسپری، موش ، کرم قطع کننده سبزیجات.</t>
  </si>
  <si>
    <t>سپین بولدک</t>
  </si>
  <si>
    <t>اعمار یک باب فوموگیشن هاوس
قرنطین نباتی</t>
  </si>
  <si>
    <t xml:space="preserve">نسبت عدم ارایه نقشه ، دیزاین و احجام کاری کار آغاز نشده </t>
  </si>
  <si>
    <t>در صورت حل مشکل نقشه و دیزاین کار آن آغاز میگردد.</t>
  </si>
  <si>
    <t>اعمار یک باب کمپلکس سردخانه عصری 5000 متریک تنه در ولایت کندهار</t>
  </si>
  <si>
    <t>مجادله علیه کنه های نباتی ،خاکسترک تاک ،ججلداغ تاک،شپشک های نباتی،مورپتدار ، کرم تاج انار،گیاه هرزه،،یوریا اسپری، لایم سلفر ،کرم قطع کننده سبزیجات ،  ،موش .</t>
  </si>
  <si>
    <t xml:space="preserve">ولسوالی قره باغ قریه باریک آب </t>
  </si>
  <si>
    <t>آغاز کار ساختمانی سیلوفلزی کابل</t>
  </si>
  <si>
    <t>پروژه فعلآ بسده شده است .</t>
  </si>
  <si>
    <t>۱۰ولسوالی</t>
  </si>
  <si>
    <t>مجادله علیه خاکسترک تاک وپوسیدگی خوشه انگور</t>
  </si>
  <si>
    <t>مجادله علیه ملی بک (شکرک تاک)</t>
  </si>
  <si>
    <t xml:space="preserve">  فارم تحقیقاتی بادام باغ </t>
  </si>
  <si>
    <t>توسعه سرمایه گذاری وبازار یابی محصولات زراعتی</t>
  </si>
  <si>
    <t>میله دهقان و نمایشگاه زراعتی بهاری 1399نمایشګاه زراعتی خزانی 1399 ایجاد و اعمار غرفه های صنایع دستی اعمار تشناب ها ی مردانه اعمار تشناب ها ی زنانه ایجاد سیستم آبیاری نمایشگاه اعمار سایه بان غرفه های داخلی و غرفه های خارجی اعمار یک باب مسجد  شریف و سرسبزی ساحه اعمار امور رستورانت بودیجه احتیاطی (نمایشگاه، کنفرانس ها و مصارف غیر قابل پیشبینی)</t>
  </si>
  <si>
    <t>ده سبز،بگرامی،مسهی  خاک جبار،سروبی و چهار اسیاب کابل</t>
  </si>
  <si>
    <t>باغچه های خانگی و مصونیت غذایی</t>
  </si>
  <si>
    <t>احداث باغچه های خانگی سبزیجات با نصب سیستم آبیاری قطره ای برای 1190 زن</t>
  </si>
  <si>
    <t xml:space="preserve">در ده ناحیه شهر کابل </t>
  </si>
  <si>
    <t xml:space="preserve">احداث باغچه های مکتبی سبزیجات با نصب سستیم ابیاری قطره ئی </t>
  </si>
  <si>
    <t xml:space="preserve">سر کوتل وولسوالی کلکان </t>
  </si>
  <si>
    <t>ولسوالی پغمان</t>
  </si>
  <si>
    <t xml:space="preserve">توزیع وسایل پروسس مواد غذائی به 100 زن </t>
  </si>
  <si>
    <t>ولسوالی شکردره</t>
  </si>
  <si>
    <t>توزیع 90 فرد گاو شیری با چوچه به 90 زن</t>
  </si>
  <si>
    <t>فارم توانمند سازی بادام باغ کابل</t>
  </si>
  <si>
    <t>تجهیز فارم توانمند سازی زنان برای 100 زن</t>
  </si>
  <si>
    <t>توسعه صنایع دستی برای 60 زن</t>
  </si>
  <si>
    <t xml:space="preserve">توزیع وسایل کشت وتولید سمارق به 70 زن </t>
  </si>
  <si>
    <t xml:space="preserve">استخدام 2 نفر متخصص، 8نفر کارمند ساحوی و10 نفر مزدور کار </t>
  </si>
  <si>
    <t xml:space="preserve">شکردره،پغمان ،کلکان ،ده سبز مسهی ،بگرامی          خاک جبار،سروبی     جهار آسیاب  </t>
  </si>
  <si>
    <t>تدویر برنامه های آموزشی برای 1539 زن</t>
  </si>
  <si>
    <t xml:space="preserve">ولسوالی : پغمان </t>
  </si>
  <si>
    <t xml:space="preserve">اعمار 4 باب ذخیره خانه کچالو </t>
  </si>
  <si>
    <t>ولسوالی: گلدره ٫شکردره ٫قره باغ ٫ فرزه ٫ میربچه کوت٫ کلکان ٫ ده سبز٫ پغمان٫ استالف</t>
  </si>
  <si>
    <t xml:space="preserve">اعمار کشمش خانه ها 125 باب </t>
  </si>
  <si>
    <t xml:space="preserve">ولسوالی: چهاراسیا٫ ده سبز٫ ناحیه هفتم٫ خاک خبار٫ پغمان٫ بگرامی ٫ موسی </t>
  </si>
  <si>
    <t xml:space="preserve">اعمار ‌ذخایر صفر انرژی پیاز 97 باب </t>
  </si>
  <si>
    <t>بگرامی،چهاراسیاب،موسهی،میربچه کوت،کلکان،استالف،فرزه، شکردره،گلدره،قره باغ،پغمان،سروبی</t>
  </si>
  <si>
    <t>توزیع ۲۷پایه ماشین های خشکن میوه جات وسبزیجات</t>
  </si>
  <si>
    <t xml:space="preserve">ایجاد باغات متراکم۱۱۳ جریب </t>
  </si>
  <si>
    <t>تحت ارزیابی</t>
  </si>
  <si>
    <t>سروی شده درسال بعدی تطبیق میشود.</t>
  </si>
  <si>
    <t>راپور فعالیت متذکره تکمیل ګردیده است واکنون  منتظر ایجاد کمیته SEC میباشد
این فعالیت بعد از این مرخله تطبیق خواهد گردید  .</t>
  </si>
  <si>
    <t>خاک جبار</t>
  </si>
  <si>
    <t>بازسازی کانال خورد کابل</t>
  </si>
  <si>
    <t xml:space="preserve">بازسازی کانال چکری </t>
  </si>
  <si>
    <t xml:space="preserve">بازسازی کانال کروخیل </t>
  </si>
  <si>
    <t xml:space="preserve">بازسازی کانال ملک خیل </t>
  </si>
  <si>
    <t xml:space="preserve">بازسازی شبکه آبیاری دوران خیل </t>
  </si>
  <si>
    <t xml:space="preserve">دهسبز، چهار آسیاب، قره باغ، موسهی </t>
  </si>
  <si>
    <t>خریداری سمین استرا جهت تلقیح گاوها برای 1666 راس گاوه</t>
  </si>
  <si>
    <t xml:space="preserve">ایجاد و تجهیز فابریکه پرسس شیر و سامان و وسایل مورد ضرورت آن جهت تجهیز و فعال نمودن فابریکه </t>
  </si>
  <si>
    <t>حمایت تخنیکی توسط یک گروپ تخنیکی در جریان سال انجام میگردد</t>
  </si>
  <si>
    <t>خاک جبار، سروبی، پغمان، شکر دره،  قره باغ، چهار آسیاب، بگرامی، ده سبز</t>
  </si>
  <si>
    <t xml:space="preserve">تدارک و توزيع بسته های مرغهای تخمي برای 667 خانم  </t>
  </si>
  <si>
    <t xml:space="preserve">تحت پروسه تدارکات میباشد </t>
  </si>
  <si>
    <t xml:space="preserve">تدویر کورس های آموزشی برای مستفیدین 667 خانم </t>
  </si>
  <si>
    <t xml:space="preserve"> بهبود سیستم و دسترسی کوچی ها به عرضه خدمات صحت حیوانی با کیفیت برای 31 نفر</t>
  </si>
  <si>
    <t xml:space="preserve"> ارتقاء سطح آگاهی کوچیان مالدار از طریق عرضه خدمات توسعوی و ترویجی در موارد مختلف مالداری به ویژه خوراکه حیوانی برای 1103 نفر </t>
  </si>
  <si>
    <t>حمایت تخنیکی در مورد بدست آوردن محصولات حیوانی با کیفیت برای 40 نفر</t>
  </si>
  <si>
    <t>بگرامی</t>
  </si>
  <si>
    <t xml:space="preserve">احیا و بازسازی شبکه آبیاری و آبگیر قلعه پردل  </t>
  </si>
  <si>
    <t xml:space="preserve">تحت پروسه تدارکاتی میباشد </t>
  </si>
  <si>
    <t>قره باغ</t>
  </si>
  <si>
    <t>احیا و بازسازی شبکه آبیاری مابیک</t>
  </si>
  <si>
    <t>احیا و بازسازی شبکه آبیاری قلندر</t>
  </si>
  <si>
    <t>چهار آسیاب، دهسبز، قرباغ، سروبی، خاک جبار</t>
  </si>
  <si>
    <t>آموزش برای 37 کارمندان در بخش زراعت آبی</t>
  </si>
  <si>
    <t xml:space="preserve">ارتقا ظرفیت برای 20 گروپ های دهاقین </t>
  </si>
  <si>
    <t>تغییر در پلان عملیاتی</t>
  </si>
  <si>
    <t xml:space="preserve">تهیه و خریداری بسته های باغداری برای 610 خانواده </t>
  </si>
  <si>
    <t xml:space="preserve">ایجاد 15 باب گل خانه </t>
  </si>
  <si>
    <t>شکردره</t>
  </si>
  <si>
    <t>اعمار سه باب کمپلکس سردخانه عصری 5000 متریک تنه در ولایت کابل</t>
  </si>
  <si>
    <t>بودجه پیشنهادی مورد نیاز از طرف وزارت مالیه پرداخت نگردید</t>
  </si>
  <si>
    <t>در صورت دریافت بودجه پروژه در سال بعدی آغاز میگردد</t>
  </si>
  <si>
    <t>برملنگ خاکجبار</t>
  </si>
  <si>
    <t>اعمارشبکه آبیاری برملنگ</t>
  </si>
  <si>
    <t xml:space="preserve">کابل مرکز </t>
  </si>
  <si>
    <t xml:space="preserve">احیا و اعمار ذخایر استراتیژیک گندم  </t>
  </si>
  <si>
    <t>خریداری 1.5میلون تخته بوری خالی پلاستیک جهت پرکاری گندم در سیلوها</t>
  </si>
  <si>
    <t xml:space="preserve">افغانی </t>
  </si>
  <si>
    <t xml:space="preserve">آفر کشایی صورت گرفته است و تحت پروسه ارزیابی تدارکاتی میباشد </t>
  </si>
  <si>
    <t>پغمان</t>
  </si>
  <si>
    <t>FAO</t>
  </si>
  <si>
    <t>احداث۲۳۰ قطعه نمایشی باغ های متراکم میوه جات توزیع  وسایل باغداری،توزیع ۶هزارقطعه مرغ تخمی با وسایل مرغداری به ۲صد فامیل وتوزیع ۱۰۵ تن کود بوریا ودی ای پی به ۷صد تن باغدارکچالوکار</t>
  </si>
  <si>
    <t xml:space="preserve">  شلترفارلایف WFP</t>
  </si>
  <si>
    <t>توزیع ۴۰۰ قطعه مرغ تخمی با وسایل مرغداری آن واحداث ۴ باب سبزخانه</t>
  </si>
  <si>
    <t>WFP</t>
  </si>
  <si>
    <t>پلچرخی وگوسفندره ولسوالی بگرامی</t>
  </si>
  <si>
    <t>MHI</t>
  </si>
  <si>
    <t>توزیع ۱۲۰۰ قطعه مرغ تخمی به ۸۰ فامیل به هرفامیل ۱۵ قطعه همرا با دانه آن توزیع شده است</t>
  </si>
  <si>
    <t>مسلم هند انترنشنل</t>
  </si>
  <si>
    <t>قریه سلیم خان ولسوالی فرزه</t>
  </si>
  <si>
    <t>IOM</t>
  </si>
  <si>
    <t>توزیع ۱۶۰ راس بز دو رگه شیری به ۸۰ فامیل</t>
  </si>
  <si>
    <t>گالو</t>
  </si>
  <si>
    <t>۷ ولسوالی</t>
  </si>
  <si>
    <t>مجادله علیه ،مگس خربوزه ،کفشک گندم، ملخ ،گیاه هرزه،،یوریا اسپری، کرم قطع کننده سبزیجات ، موش .</t>
  </si>
  <si>
    <t xml:space="preserve">مرکز ولایت شهر چغچران </t>
  </si>
  <si>
    <t>ترمیم تعمیر اداری گدام 5هزار تنه درولایت غور.</t>
  </si>
  <si>
    <t xml:space="preserve">مرکز غزنی </t>
  </si>
  <si>
    <t>توزیع وسایل پروسس مواد غذائی به 100 زن</t>
  </si>
  <si>
    <t>3 ولسووالی</t>
  </si>
  <si>
    <t xml:space="preserve">مجادله میخانیکی وکیمیاوی مورپتد دار و مگس خربوزه
</t>
  </si>
  <si>
    <t>ایجاد3 صنف مکتب 
مزرعه دهاقین</t>
  </si>
  <si>
    <t>ولسوالی: مرکز قره باغ</t>
  </si>
  <si>
    <t xml:space="preserve">اعمار 8 باب ذخیره خانه صفر انرژی پیاز </t>
  </si>
  <si>
    <t xml:space="preserve">اعمار کشمش خانه ها 25 باب </t>
  </si>
  <si>
    <t>ولسوالی: مرکز٫ خواجه عمری ٫ قره باغ</t>
  </si>
  <si>
    <t xml:space="preserve">اعمار ‌ذخایر صفر انرژی کچالو 47 باب </t>
  </si>
  <si>
    <t>اولویت به پروژه محصولات زراعتی داده شده است</t>
  </si>
  <si>
    <t xml:space="preserve">ایجاد باغات متراکم ۳۰ جریب </t>
  </si>
  <si>
    <t xml:space="preserve">نسبت شیوع مرض کرونا </t>
  </si>
  <si>
    <t>کمک های مردم ایالات متحده امریکا به مردم افغانستان</t>
  </si>
  <si>
    <t>مرکز ولایت غزنی قریه روضه</t>
  </si>
  <si>
    <t>برنامه حوزوی انکشاف زراعتی  شرق</t>
  </si>
  <si>
    <t>شرکت تولیدی مواد غذای امید غزنویان</t>
  </si>
  <si>
    <t xml:space="preserve"> ریاست زرعت ولایت غزنی </t>
  </si>
  <si>
    <t>بعد از ختم پروژه  برنامه حوزوی انکشاف زراعتی  شرق نظارت وهمانګی به شرکت های متزکره</t>
  </si>
  <si>
    <t>پروګرام انکشافی زراعتی زون شرق</t>
  </si>
  <si>
    <t>شرکت پروسس مواد غذای عطامحمد فزرند امیر محمد</t>
  </si>
  <si>
    <t>مرکز ولایت غزنی ساحه نواباد</t>
  </si>
  <si>
    <t xml:space="preserve">شرکت تجارتی پدیده غزنه </t>
  </si>
  <si>
    <t>مرکزولایت غزنی قریه اربابا صاحب</t>
  </si>
  <si>
    <t>شرکت پروسس مواد غذای صفا آرزو</t>
  </si>
  <si>
    <t>مرکز ولایت غزنی قله امیر محمد خان</t>
  </si>
  <si>
    <t>شرکت پروسس لبنیات ارمغان</t>
  </si>
  <si>
    <t>مرکز ولایت غزنی هده والسوالی قره باغ</t>
  </si>
  <si>
    <t>شرکت پروسس مواد غذایی  ثقافت</t>
  </si>
  <si>
    <t>ولسوالی خواجه عمری قله نو برجه</t>
  </si>
  <si>
    <t xml:space="preserve">کارګاه چوچه کشی ماهان </t>
  </si>
  <si>
    <t xml:space="preserve">به نسبت مشکلات امنیتی </t>
  </si>
  <si>
    <t xml:space="preserve">شهر غزنی ا‌ډه قره باغ شفاخانه کدری خاتم النبیین </t>
  </si>
  <si>
    <t xml:space="preserve">لابرتوار برای جلوګیری امراض مرغی شرکت خواجه نور بابا </t>
  </si>
  <si>
    <t xml:space="preserve">شهر ک سطان محمود غزنوی </t>
  </si>
  <si>
    <t xml:space="preserve">شرکت زراعتی ومالداری تلوسه ګارګاه تولیدی دانه مرغی </t>
  </si>
  <si>
    <t xml:space="preserve">سایی گنچ شهر غزنی </t>
  </si>
  <si>
    <t xml:space="preserve">شرکت  کبک زرین کشتارګاه غزنه باستان  </t>
  </si>
  <si>
    <t xml:space="preserve">قریه نوآباد غزنی </t>
  </si>
  <si>
    <t>شرکت خدماتی زراعتی آنار</t>
  </si>
  <si>
    <t>شرکت تجارتی پایيز روستا</t>
  </si>
  <si>
    <t>غزنی قریه روضه  مسچد مزار نو</t>
  </si>
  <si>
    <t>شرکت تولیدی مواد غذای امید غزنویان بار دوم</t>
  </si>
  <si>
    <t xml:space="preserve"> خواجه علی صاحب </t>
  </si>
  <si>
    <t>شرکت پروسس لبنیات ارمغان دوم</t>
  </si>
  <si>
    <t xml:space="preserve">مرکز جمع آوری پیک غزنه </t>
  </si>
  <si>
    <t xml:space="preserve">توحید آباد شهر غزنی </t>
  </si>
  <si>
    <t xml:space="preserve">کشتارگاه زراعتی سرتوربابا </t>
  </si>
  <si>
    <t xml:space="preserve">شهر غزنی کلاه سبز نزد عزیزی بانک </t>
  </si>
  <si>
    <t xml:space="preserve">شرکت خدماتی زراعتی حکیم سنایی صالحی </t>
  </si>
  <si>
    <t>شهر غزنی قریه روضه سر کاریز</t>
  </si>
  <si>
    <t xml:space="preserve">شرکت پروسس مواد زراعتی عبدالمنیر فرزند غلام جان </t>
  </si>
  <si>
    <t>شهر غزنی قله تحویل دار</t>
  </si>
  <si>
    <t>فارم گاوداری وپروسس لبنیاتی وطن</t>
  </si>
  <si>
    <t>شهر غزنی ساحه موی مبارک</t>
  </si>
  <si>
    <t xml:space="preserve">لمر افغان زراعتی او مالداری خدمتونو شرکت </t>
  </si>
  <si>
    <t>7ولسوالی</t>
  </si>
  <si>
    <t>شاه جوی ، شهر صفاومرکز ولایت</t>
  </si>
  <si>
    <t>ریست زراعت ولایت</t>
  </si>
  <si>
    <t xml:space="preserve">مرکز ولایت زابل </t>
  </si>
  <si>
    <t>آفر گشائی وارزیابی شده صورت گرفته است در آینده نزدیک با شرکت برنده قرار داد امضا خواهد گردید.</t>
  </si>
  <si>
    <t xml:space="preserve"> 6 ولسوالی</t>
  </si>
  <si>
    <t xml:space="preserve">در مرکز ولایت تخار </t>
  </si>
  <si>
    <t>ولسوالی های  وزه و زدران</t>
  </si>
  <si>
    <t>۷ولسوالی</t>
  </si>
  <si>
    <t>ولسوالی: گردیز٫ احمد اباد٫ سیدکرم٫ میرزکه</t>
  </si>
  <si>
    <t>ولسوالی: گردیز٫ زرمت٫ سید کرم</t>
  </si>
  <si>
    <t>ولسوالی: گردیز٫ احمد اباد٫ سیدکرم٫ زرمت٫سمکنی٫ مرکز٫ میرزکه٫ شواک٫ وازی ذدران</t>
  </si>
  <si>
    <t xml:space="preserve">  6 ولسوالی  </t>
  </si>
  <si>
    <t>مجادله علیه کنه های ، شپشک ها ی نباتی، مور پتدار ، قانعوزک کچالو ،ملخ ، گیاه هرزه،،یوریا اسپری، لایم سلفر،موش .</t>
  </si>
  <si>
    <t xml:space="preserve"> 3ولسوالی </t>
  </si>
  <si>
    <t xml:space="preserve">تکمیل گردید ه است </t>
  </si>
  <si>
    <t>ولسوالی: سیغان٫ کهمرد٫ شیبر٫ مرکز</t>
  </si>
  <si>
    <t>اعمار ذخیره صفر انرژی پیاز 42 باب</t>
  </si>
  <si>
    <t>ولسوالی: مرکز٫ یکاولنگ ٫ کهمرد٫ سیغان٫ شیبر</t>
  </si>
  <si>
    <t xml:space="preserve">اعمار ‌ذخایر صفر انرژی کچالو 95 باب </t>
  </si>
  <si>
    <t>ولسوالی: سیغان</t>
  </si>
  <si>
    <t xml:space="preserve">توزیع 20 پایه خشکن آفتابی </t>
  </si>
  <si>
    <t xml:space="preserve">ایجاد باغات متراکم۲۵ جریب </t>
  </si>
  <si>
    <t xml:space="preserve">اعمار سردخانه های اولیه </t>
  </si>
  <si>
    <t xml:space="preserve">تحت پروسه تدارکات </t>
  </si>
  <si>
    <t xml:space="preserve">ایجاد سرد خانه های معیاری </t>
  </si>
  <si>
    <t>مجادله علیه  ملخ ، کفشک گندم ،شپشک های نباتی،مگس خربوزه ،گیاه هرزه،،یوریا اسپری، موش .</t>
  </si>
  <si>
    <t xml:space="preserve">ایجاد6 صنف مکتب 
مزرعه دهاقین
ایجادیک صنف مکتب مزرعه دهاقین برای خانم ها </t>
  </si>
  <si>
    <t>قلعه نو مرکز</t>
  </si>
  <si>
    <t xml:space="preserve">بودجه آن در بخش خریداری 13 قلم آفت کش های زراعتی تعدیل گردیده است </t>
  </si>
  <si>
    <t>در صورت موجودیت بودجه در پلان سال آینده در نظر گرفته میشود</t>
  </si>
  <si>
    <t>قادیس، جوند ، غورماچ و بالا مرغاب</t>
  </si>
  <si>
    <t>ایجاد120 سبز خانه های عصری کوچک وبزرگ</t>
  </si>
  <si>
    <t>970000$</t>
  </si>
  <si>
    <t xml:space="preserve">  احداث 10 پروژه آبیاری </t>
  </si>
  <si>
    <t>1200000$</t>
  </si>
  <si>
    <t>احداث 750 جریب باغ های جدید</t>
  </si>
  <si>
    <t>142500$</t>
  </si>
  <si>
    <t>احداث 120  جریب سیستم چیله</t>
  </si>
  <si>
    <t>216000$</t>
  </si>
  <si>
    <t>احداث 155 جریب باغ های متراکم</t>
  </si>
  <si>
    <t>271250$</t>
  </si>
  <si>
    <t xml:space="preserve">ایجاد120 باب  سرد خانه انرژی صفری </t>
  </si>
  <si>
    <t>140000$</t>
  </si>
  <si>
    <t>در سال بعدی در نظر است پروژه تطبق گردد</t>
  </si>
  <si>
    <t>۴ ولسوالی</t>
  </si>
  <si>
    <t xml:space="preserve">بگرام </t>
  </si>
  <si>
    <t>سالنگ</t>
  </si>
  <si>
    <t>چاریکار</t>
  </si>
  <si>
    <t xml:space="preserve">قرار داد جدید به امضا رسیده است </t>
  </si>
  <si>
    <t>جبل السراج، بگرام، چاریکار</t>
  </si>
  <si>
    <t xml:space="preserve">جبل السراج، بگرام، چاریکار، سیاه گرد، شینواری، کوه صافی، </t>
  </si>
  <si>
    <t xml:space="preserve">سالنگ </t>
  </si>
  <si>
    <t xml:space="preserve">شیخ علی </t>
  </si>
  <si>
    <t>سیاه گرد</t>
  </si>
  <si>
    <t xml:space="preserve">نظربه کمبود بودجه تطبیق نگردید </t>
  </si>
  <si>
    <t>در سال بعدی در نظر است تطبیق گردد</t>
  </si>
  <si>
    <t xml:space="preserve">بنابر مشکلات تخنیکی تطبیق نگردیده است </t>
  </si>
  <si>
    <t>از اثر ویروس کرونا وکمبود 
بودجه از تطبیق باز مانده</t>
  </si>
  <si>
    <t>مجادله علیه کنه  های نباتی،کرم سا قۀ شالی ، مورپتدار ،ملخ ، مگس خربوزه، قانغوزک کچالو ،گیاه هرزه،،یوریا اسپری، لایم سلفر ،کرم قطع کننده سبزیجات  ،کرم ریشه خوار علفچرها ،موش .</t>
  </si>
  <si>
    <t>مرکز ولایت پلخمری</t>
  </si>
  <si>
    <t xml:space="preserve">پلخمری </t>
  </si>
  <si>
    <t>بازسازی کانال گوهر گان</t>
  </si>
  <si>
    <t xml:space="preserve">قرار داد جدیدأ به امضا رسیده است </t>
  </si>
  <si>
    <t>بغلان مرکزی، پلخمری، نهرین، دوشی، دهنه غوری، خنجان</t>
  </si>
  <si>
    <t xml:space="preserve">تدارک و توذيع بسته های مرغهای تخمي برای 667 خانم </t>
  </si>
  <si>
    <t>تدویر کورس های آموزشی برای مستفیدین 40 مستفید</t>
  </si>
  <si>
    <t xml:space="preserve"> بهبود سیستم و دسترسی کوچی ها به عرضه خدمات صحت حیوانی با کیفیت برای 25 نفر</t>
  </si>
  <si>
    <t xml:space="preserve"> ارتقاء سطح آگاهی کوچیان مالدار از طریق عرضه خدمات توسعوی و ترویجی در موارد مختلف مالداری به ویژه خوراکه حیوانی برای 1102</t>
  </si>
  <si>
    <t xml:space="preserve">حمایت تخنیکی در مورد بدست آوردن محصولات حیوانی با کیفیت برای 7 نفر
</t>
  </si>
  <si>
    <t>بازاریابی برای محصولات حیوانی کوچی ها برای 140 نفر</t>
  </si>
  <si>
    <t xml:space="preserve">حمایت تخنیکی و فراهم نمودن تسهیلات در ساحات تحت پوشش برای </t>
  </si>
  <si>
    <t>فرنگ</t>
  </si>
  <si>
    <t>احیا و بازسازی آبگیر رباط</t>
  </si>
  <si>
    <t xml:space="preserve">خوست </t>
  </si>
  <si>
    <t xml:space="preserve">احیا و بازسازی آبگیر و شبکه آبیاری ده لالا  </t>
  </si>
  <si>
    <t>دوشی</t>
  </si>
  <si>
    <t xml:space="preserve">احیا و بازسازی دیوار استنادی و شبکه آبیاری دهنه توغک </t>
  </si>
  <si>
    <t>احیا و بازسازی شبکه آبیاری درقد</t>
  </si>
  <si>
    <t xml:space="preserve">بنابر شیوع ویروس کرونا از تطبیق باز مانده است </t>
  </si>
  <si>
    <t xml:space="preserve">خریداری 15 پایه ماشین قطع کننده علوفه ( chopper machine) برای مالداران </t>
  </si>
  <si>
    <t xml:space="preserve">توزیع 201 قرضه های زراعتی و مالداری برای دهاقین و مالداران </t>
  </si>
  <si>
    <t>۱۵ ولسوالی</t>
  </si>
  <si>
    <t xml:space="preserve">مجادله علیه کنه های نباتی، کرم ساقۀ جواری، گیاه هرزه
،لایم سلفر،یوریا اسپری، موش </t>
  </si>
  <si>
    <t>ولسوالی: یحی خیل٫ مرکز٫ یوسف خیل</t>
  </si>
  <si>
    <t>پروژه سکتوری انکشاف زنجیره ارزش باغداری (HVCDSP)</t>
  </si>
  <si>
    <t xml:space="preserve">اعمار ‌ذخایر صفر انرژی کچالو 17 باب </t>
  </si>
  <si>
    <t>اعمار ذخیره صفر انرژی پیاز 24 باب</t>
  </si>
  <si>
    <t>ولسوالی: یوسف خیل٫ ارگون٫ مرکز ٫ یحی خیل</t>
  </si>
  <si>
    <t>ولسوالی: مرکز٫ یوسف خیل</t>
  </si>
  <si>
    <t xml:space="preserve">8 باب کشمش خانه </t>
  </si>
  <si>
    <t xml:space="preserve">تحت پروسه تدارکاتی است </t>
  </si>
  <si>
    <t xml:space="preserve">ولایت پکتیکا مرکز شرنه </t>
  </si>
  <si>
    <t xml:space="preserve">20%باقیمانده کار گدام 5000تنه ذخایر در ولایت پکتیکا </t>
  </si>
  <si>
    <t>مشکلات تخنیکی پروژه</t>
  </si>
  <si>
    <t>در صورت حل مشکل تخنکی پروژه دوباره به کار آغاز میکند</t>
  </si>
  <si>
    <t>خاک سفید و پشت رود</t>
  </si>
  <si>
    <t>ایجاد 60 باب سبز خانه های عصری کوچک وبزرگ</t>
  </si>
  <si>
    <t>ایجاد 15 باب سبز خانه های عصری کوچک</t>
  </si>
  <si>
    <t xml:space="preserve">  احداث 3 پروژه آبیاری </t>
  </si>
  <si>
    <t>احداث 612 جریب باغ های جدید</t>
  </si>
  <si>
    <t>احداث 100  جریب سیستم چیله</t>
  </si>
  <si>
    <t>احداث 20 جریب باغ های متراکم</t>
  </si>
  <si>
    <t xml:space="preserve">توزیع 150بسته های باغداری </t>
  </si>
  <si>
    <t>ساخت 25 باب سرد خانه پیاز</t>
  </si>
  <si>
    <t>ایجاد سیستم چیله برای20 جریب باغ های متراکم</t>
  </si>
  <si>
    <t>ساخت 6 باب کشمش خانه</t>
  </si>
  <si>
    <t>مرکز ولایت فراه</t>
  </si>
  <si>
    <t xml:space="preserve">بودجه ان به بخش مبارزه با کرونا تعدیل شده </t>
  </si>
  <si>
    <t>ولسوالی های کیتی، پاتو ومیرامور</t>
  </si>
  <si>
    <t xml:space="preserve">احداث باغات تجارتی خرما 50 جریب </t>
  </si>
  <si>
    <t>ولسوالی: اسماعیل خیل ٫ مندوزی ٫ تنی گربز٫ متون</t>
  </si>
  <si>
    <t>ولسوالی  دومندر</t>
  </si>
  <si>
    <t xml:space="preserve"> 8ولسوالی </t>
  </si>
  <si>
    <t>پیش بینی وضعیت زراعت ،هوا شناسی زراعتی ،تقویت سیستم های تکنالوژی معلوماتی واحصائیه زراعتی</t>
  </si>
  <si>
    <t xml:space="preserve">انکشاف خدمات مخابراتی </t>
  </si>
  <si>
    <t>موسسه تمویل کننده در رابطه به بودجه معلومات ارائه نکردند</t>
  </si>
  <si>
    <t>طبق قراردادی که فی مابین USAID و پروژه RADAP EAST  صورت گرفته است تفاهم شده که بودجه پروژه در اختیار کسی قرار داده نشود</t>
  </si>
  <si>
    <t xml:space="preserve"> احیای 40 هکتار جنگل چهارمغز(با تطبیق 7 فعالیت فوق الذکرصورت میگیرد) به مبلغ مجموعی 2125000 افغانی به شمول 70000 افغانی مصارف اداری</t>
  </si>
  <si>
    <t>مرکز / فارم مرکزی</t>
  </si>
  <si>
    <t>احیاوحفاظت (8) جریب قوریه</t>
  </si>
  <si>
    <t xml:space="preserve">تهیه 2000  کیلوگرام تخم گز، ساکیاول، سالسولا وتارغ </t>
  </si>
  <si>
    <t>بذر تخم تهیه شده درساحه 200 هکتار</t>
  </si>
  <si>
    <t xml:space="preserve">مصارف اداری ونظارت کارمندان ولایتی ازفعالیت های تطبیق شده پروژه </t>
  </si>
  <si>
    <t>علی آباد ٫ و کندز</t>
  </si>
  <si>
    <t>علی اباد٫ چهاردره و قلعه ذال</t>
  </si>
  <si>
    <t>کندز</t>
  </si>
  <si>
    <t>امام صاحب</t>
  </si>
  <si>
    <t>دشت ارچی</t>
  </si>
  <si>
    <t xml:space="preserve">دشت ارچی </t>
  </si>
  <si>
    <t xml:space="preserve">احیاء و باز سازی کانال فرعی آبیاری دوشاخ اول </t>
  </si>
  <si>
    <t>احیاء و بازسازی کانال فرعی آبیاری دوشاخ دوم</t>
  </si>
  <si>
    <t xml:space="preserve">احیاء و بازسازی کانال فرعی آبیاری دوشاخ سوم </t>
  </si>
  <si>
    <t>احیاء و بازسازی کانال فرعی آبیاری گودام دار</t>
  </si>
  <si>
    <t>احیاء وبازسازی کانال فرعی آبیاری گودام دار دوم</t>
  </si>
  <si>
    <t xml:space="preserve">احیاء و بازسازی کانال فرعی آبیاری گودام دار سوم </t>
  </si>
  <si>
    <t xml:space="preserve">احیاء و بازسازی کانال فرعی آبیاری گودام دار چهارم </t>
  </si>
  <si>
    <t>احیاء و بازسازی کانال فرعی آبیاری جمالی اول</t>
  </si>
  <si>
    <t xml:space="preserve">احیاء و بازسازی کانال فرعی آبیاری جمالی دوم </t>
  </si>
  <si>
    <t xml:space="preserve">امام صاحب </t>
  </si>
  <si>
    <t xml:space="preserve">احیاء و بازسازی کانال فرعی آبیاری قنجوغه  اول </t>
  </si>
  <si>
    <t xml:space="preserve">احیاء و بازسازی کانال فرع آبیاری قنجوغه دوم </t>
  </si>
  <si>
    <t xml:space="preserve">احیاء و بازسازی  کانال فرعی آبیاری قرغز دوم </t>
  </si>
  <si>
    <t xml:space="preserve">احیاء وبازسازی  کانال فرعی آبیاری قرغزاول </t>
  </si>
  <si>
    <t>احیاء و بازسازی کانال فرعی آبیاری سرفراز کانال</t>
  </si>
  <si>
    <t xml:space="preserve">احیاء و بازسازی  کانال فرعی آبیاری سرفراز دوم </t>
  </si>
  <si>
    <t xml:space="preserve">احیاء و بازسازی کانال فرعی آبیاری سرفراز  سوم </t>
  </si>
  <si>
    <t xml:space="preserve">احیاء و بازسازی کانال فرعی آبیاری سرفراز چهارم </t>
  </si>
  <si>
    <t xml:space="preserve">احیاء و بازسازی کانال فرعی آبیاری سرفراز پنجم </t>
  </si>
  <si>
    <t xml:space="preserve">احیاء و بازسازی کانال فرعی آبیاری شیر خان اول </t>
  </si>
  <si>
    <t xml:space="preserve">احیاء و بازسازی کانال فرعی آبیاری شیر خان دوم </t>
  </si>
  <si>
    <t xml:space="preserve">احیاء وبازسازی کانال فرعی آبیاری شیر خان سوم  </t>
  </si>
  <si>
    <t xml:space="preserve">احیاء و بازسازی کانال فرعی آبیاری شیر خان چهارم </t>
  </si>
  <si>
    <t xml:space="preserve">احیاء و بازسازی کانال  سومی آبیاری شیر خان </t>
  </si>
  <si>
    <t>مرکز ولایت</t>
  </si>
  <si>
    <t>احیاوحفاظت (3) جریب قوریه</t>
  </si>
  <si>
    <t>احیاوحفاظت (20) جریب قوریه</t>
  </si>
  <si>
    <t>ناوه / نیگارین</t>
  </si>
  <si>
    <t xml:space="preserve">آبیاری و ذخایر آب </t>
  </si>
  <si>
    <t>تحکیم کاری زمین سور گل خان</t>
  </si>
  <si>
    <t>احیاوحفاظت ( 8)جریب قوریه</t>
  </si>
  <si>
    <t>عنابه</t>
  </si>
  <si>
    <t>احداث 20 جریب باغ توت</t>
  </si>
  <si>
    <t>خنج حصه اول / پیش غور</t>
  </si>
  <si>
    <t>آبیاری و ذخایر آب</t>
  </si>
  <si>
    <t>باز سازی سر بند ترناب و پخته کاری کانال پیشغور</t>
  </si>
  <si>
    <t>رخه / قابی زان</t>
  </si>
  <si>
    <t>اعمار دیوار گبیونی قابی زان</t>
  </si>
  <si>
    <t>تنظیم همه جانبه علفچرها وتثبیت ریگهای روان برمشارکت جامعه</t>
  </si>
  <si>
    <t xml:space="preserve">بذر تخم تهیه شده درساحه 266 هکتار </t>
  </si>
  <si>
    <t>ارتقاء ظرفیت تعداد (440) نفر اعضای انجمن ها و کارمندان فنی ساحوی جهت احیا و حفاظت 400 هکتارساحات تخریب شده  نبات طبی هنگ به شکل مصنوعی  در 1 ولایت</t>
  </si>
  <si>
    <t>تهیه  و توزیع تعداد ( 400) پکیج احیا ساحات تخریب شده هنگ برای انجمن های تنظیم علفچر و نباتات طبی شناسایی شده و جوامع محلی در ولایت تحت پلان</t>
  </si>
  <si>
    <t>تهیه وتوزیع تعداد (20) پروژه عایداتی از طریق حفاظت و قرنطین بشکل طبیعی هنگ در ساحه (400) هکتار  در 1 ولایت تحت پلان</t>
  </si>
  <si>
    <t>تهیه و توزیع تعداد ( 400) پکیج ارزش افزایی شیره بته های هنگ برای اعضای انجمن های تنظیم علفچر ونباتات طبی  در 1 ولایت تحت پلان</t>
  </si>
  <si>
    <t>تنظیم همه جانبه علفچرها وتثبیت ریگهای روان به مشارکت جامعه</t>
  </si>
  <si>
    <t xml:space="preserve">تهیه 333333 قلمه گز، سکساول وتاغ </t>
  </si>
  <si>
    <t xml:space="preserve">آماده ساختن زمین برای غرس 333333 قلمه </t>
  </si>
  <si>
    <t xml:space="preserve">کشیدن 266667 نهال ریشه وانتقال </t>
  </si>
  <si>
    <t>حفر چقرک وغرس 266667 نهال</t>
  </si>
  <si>
    <t>تهیه 4000000 لیتر آب  برای یکمرتبه آبیاری</t>
  </si>
  <si>
    <t>آبیاری 266667 نهال های غرس شده</t>
  </si>
  <si>
    <t xml:space="preserve">تهیه 1333 کیلوگرام تخم گز، سکساول وتاغ                                                                                                      </t>
  </si>
  <si>
    <t xml:space="preserve">بذر تخم در266 هکتار ساحه </t>
  </si>
  <si>
    <t>مرکز جوزجان / اشرف</t>
  </si>
  <si>
    <t>ارتقاء ظرفیت تعداد (440) نفر اعضای انجمن ها و کارمندان فنی ساحوی جهت احیا و حفاظت 400 هکتارساحات تخریب شده  نبات طبی شیرین بویه به شکل مصنوعی  در 1 ولایت</t>
  </si>
  <si>
    <t>تهیه  و توزیع تعداد ( 400) پکیج احیا ساحات تخریب شده شیرین بویه برای انجمن های تنظیم علفچر و نباتات طبی شناسایی شده و جوامع محلی در ولایت تحت پلان</t>
  </si>
  <si>
    <t>تهیه وتوزیع تعداد (20) پروژه عایداتی از طریق حفاظت و قرنطین بشکل طبیعی شیرین بویه در ساحه (400) هکتار  در 1 ولایت تحت پلان</t>
  </si>
  <si>
    <t>تهیه و توزیع تعداد ( 400) پکیج ارزش افزایی ریشه بته های شیرین بویه برای اعضای انجمن های تنظیم علفچر ونباتات طبی  در 1 ولایت تحت پلان</t>
  </si>
  <si>
    <t>ایجاد انجمن جنگلداری</t>
  </si>
  <si>
    <t>ظرفیت سازی 200 نفر اعضای انجمن</t>
  </si>
  <si>
    <t>تناوب، تنظیم چرا در 9000 هکتار علفچر</t>
  </si>
  <si>
    <t>تهیه ونصب 25 بیلبور تبلیغاتی درساحات علفچرهای انجمن ها</t>
  </si>
  <si>
    <t>قرنطین علفچرها قسماَ تخریب شده وجمع اوری تخم ان بمنظور بذر درساحات تحت تخریب از طریق 25 پروژه های عایداتی کوچک</t>
  </si>
  <si>
    <t xml:space="preserve">بذر پاشی تخم های جمع اوری شده از ساحات قرنطین از طریق توزیع 25 پروژه های عایداتی </t>
  </si>
  <si>
    <t xml:space="preserve">اعمار 3000 چکدم وذخیره کوچک ابی درساحات ابریزه ها </t>
  </si>
  <si>
    <t xml:space="preserve">اعمار 20 بند  خاکی ابگردان </t>
  </si>
  <si>
    <t>تهیه 2 بسته  وسایل سروی علفچرها</t>
  </si>
  <si>
    <t xml:space="preserve">نظارت وارزیابی </t>
  </si>
  <si>
    <t>خریداری 160 کیلو تخم پسته برای قوریه دارلن محلی غرض تولید نهال پسته ، با در نظر داشت 10فیصد ضایعات ( فی کیلو 1200عدد تخم )</t>
  </si>
  <si>
    <t xml:space="preserve">خریداری 800 کیلوگرام خریطه پلاستیکی دو کیلو یی رنگ سیاه سایز 15*30 سانتی </t>
  </si>
  <si>
    <t>تهیه 40 تن کود حیوانی برای خریطه ها</t>
  </si>
  <si>
    <t xml:space="preserve">انتقال 160 هزار نهال های پسته از قوریه به ساحه در فصل خزان سال جاری ، حفاظت و آبیاری آن توسط انجمن های جنگلداری </t>
  </si>
  <si>
    <t>تهیه و خریداری 20 لوحه  آگاهی عامه ( از فلز معه پایه ، نوشتن یک ماده قانون تنظیم جنگلات به سایز 120 در 80  سانتی متر) معه نصب در مسیر جنگلات طبیعی</t>
  </si>
  <si>
    <t>احیاوحفاظت (5) جریب قوریه</t>
  </si>
  <si>
    <t>حضرت سلطان ولایت سمنگان</t>
  </si>
  <si>
    <t>احداث 80 جریب باغ بادام</t>
  </si>
  <si>
    <t xml:space="preserve">حضرت سلطان و خرم سارباغ سمنگان </t>
  </si>
  <si>
    <t>پروژه کمربند سبز</t>
  </si>
  <si>
    <t>بخش تهیه و تدارکات ولایت هرات</t>
  </si>
  <si>
    <t>مصارف اداری کمربند سبز هرات برای سال اولی مطالعاتی</t>
  </si>
  <si>
    <t>نظیم همه جانبه علفچرها وتثبیت ریگهای روان برمشارکت جامعه</t>
  </si>
  <si>
    <t>ایجاد انجمن تنظیم علفچر</t>
  </si>
  <si>
    <t>ظرفیت سازی 400 نفر اعضای انجمن</t>
  </si>
  <si>
    <t>تناوب، تنظیم چرا در 18000 هکتار علفچرها</t>
  </si>
  <si>
    <t>تهیه ونصب 50 عدد بیلبوردهای تبلیغاتی درساحات علفچرهای انجمن ها</t>
  </si>
  <si>
    <t xml:space="preserve">بذر پاشی تخم های جمع اوری شده  درساحه یگهرار هکتاراز ساحات قرنطین از طریق توزیع 25 پروژه های عایداتی </t>
  </si>
  <si>
    <t xml:space="preserve">اعمار 6000 مترمکعب چکدم وذخیره کوچک آبی درساحات ابریزه ها </t>
  </si>
  <si>
    <t xml:space="preserve">اعمار 40 عدد بند های خاکی آبگردان </t>
  </si>
  <si>
    <t>ماشین برمه بمنظور حفر چقرک جهت غرس قلمه گز</t>
  </si>
  <si>
    <t xml:space="preserve">نظارت وارزیاابی </t>
  </si>
  <si>
    <t xml:space="preserve">تهیه 333333 عدد قلمه کز، تاغ و سکساول  </t>
  </si>
  <si>
    <t>آماده ساختن وغرس 333333 عدد قلمه درمرکز تولیدی  تکثیری</t>
  </si>
  <si>
    <t xml:space="preserve">کشیدن نهال وانتقال 266667 عدد نهال درساحه </t>
  </si>
  <si>
    <t>حفر 266667 عدد چقرک وغرس نهال</t>
  </si>
  <si>
    <t xml:space="preserve">تهیه  4000000 لیتر آب برای آبیاری </t>
  </si>
  <si>
    <t>آبیاری 266667 عدد نهال ها</t>
  </si>
  <si>
    <t xml:space="preserve"> تهیه 1333 کیلوگرام تخم کز، سکساول وتاغ </t>
  </si>
  <si>
    <t xml:space="preserve">بذر تخم در 266 هکتار ساحات  ریگهای روان </t>
  </si>
  <si>
    <t xml:space="preserve">مصارف اداری ونظارت </t>
  </si>
  <si>
    <t xml:space="preserve">تهیه  15 پروژه های عایداتی کوچک به منظور بذر مستقیم پسته در ساحه  جنگلات طبیعی ، حفاظت ، آبیاری و قروغ نمودن آن برای مدت 10 سال </t>
  </si>
  <si>
    <t xml:space="preserve">نصب 20 عدد لوحه های آگاهی عامه ( از فلز معه پایه ، نوشتن یک ماده قانون تنظیم جنگلات به سایز 120 در 80  سانتی متر معه نصب در ساحه </t>
  </si>
  <si>
    <t>گذره ولایت هرات</t>
  </si>
  <si>
    <t>کوهسان و غوریان هررات</t>
  </si>
  <si>
    <t>مرکز / تاشکلی گذر</t>
  </si>
  <si>
    <t xml:space="preserve">تهیه  333333 قلمه گز، تاغ وسکساول </t>
  </si>
  <si>
    <t xml:space="preserve">اماده ساختن زمین وغرس 333333 عدد  قلمه </t>
  </si>
  <si>
    <t xml:space="preserve">کشیدن نهال وانتقال ان درساحه </t>
  </si>
  <si>
    <t xml:space="preserve">حفر چقرک وغرس نهال ریشه </t>
  </si>
  <si>
    <t xml:space="preserve">تهیه آب برای یکمرتبه آبیاری </t>
  </si>
  <si>
    <t xml:space="preserve">آبیاری نهال های غرس شده یکمرتبه </t>
  </si>
  <si>
    <t xml:space="preserve">تهیه تخم گز، سکساول وتاغ وسالسولا / کیلوگرام </t>
  </si>
  <si>
    <t>پروژه ملی تنظیم منابع طبیعی به اشتراک جامعه</t>
  </si>
  <si>
    <t xml:space="preserve">تهیه  20 پروژه های عایداتی کوچک به منظور بذر مستقیم جلغوزه در ساحه  جنگلات طبیعی ، حفاظت ، آبیاری و قروغ نمودن آن برای مدت 10 سال </t>
  </si>
  <si>
    <t>خریداری 74 کیلوگرام تخم جلغوزه برای بذر ، با در نظرداشت 10 فیصد ضایعات،( فی کیلو 2400 عدد تخم )</t>
  </si>
  <si>
    <t>تهیه و خریداری 20 لوحه آگاهی عامه ( از فلز معه پایه ، نوشتن یک ماده قانون تنظیم جنگلات به سایز 120 در 80  سانتی متر) معه نصب در مسیر جنگلات طبیعی</t>
  </si>
  <si>
    <t>احیا 100 هکتار جنگل جلغوزه از طریق تهیه 20 پروژه عایداتی کوچک</t>
  </si>
  <si>
    <t>پروژه احداث قوریه جات خانگی</t>
  </si>
  <si>
    <t>احداث 200  قوریه خانگی برای 200 خانواده تحت مدیریت 20 انجمن جهت تولید 1.5 میلیون اصله نهال چهارمغز و جلغوزه</t>
  </si>
  <si>
    <t>انبوه</t>
  </si>
  <si>
    <t>احیاوحفاظت ( 10) جریب قوریه</t>
  </si>
  <si>
    <t>چک / علی محمد خیل</t>
  </si>
  <si>
    <t>پروژه آبیاری و ذخایر آب</t>
  </si>
  <si>
    <t>باز سازی سر بند و کانال دو شمعه</t>
  </si>
  <si>
    <t>مشکل اجتماعی</t>
  </si>
  <si>
    <t>در صورت حل مشکل پروژه آغاز میگردد</t>
  </si>
  <si>
    <t>حصه اول بهسود / قلعه مراد خان -کجاب</t>
  </si>
  <si>
    <t>باز سازی سر بند قلعه مراد خان</t>
  </si>
  <si>
    <t>مشکل تخنیکی</t>
  </si>
  <si>
    <t>احیاوحفاظت ( 6)جریب قوریه</t>
  </si>
  <si>
    <t xml:space="preserve">علیشنګ و دولت شاه </t>
  </si>
  <si>
    <t>احیاء و حفاظت جنگلات طبیعی</t>
  </si>
  <si>
    <t>پرداخت دو قسط 111000 عدد نهال چارمغز</t>
  </si>
  <si>
    <t>پرداخت یک قسط 111000 عدد نهال جلغوزه</t>
  </si>
  <si>
    <t>تهیه و خریداری 20 لوحه آگاهی عامه به سایز 120 در 80  سانتی متر از آهن چادری  فلزی معه چوکات و نوشتن یک ماده قانون تنظیم جنگلات  معه نصب در مسیر جنگلات طبیعی</t>
  </si>
  <si>
    <t>مرکز لغمان</t>
  </si>
  <si>
    <t xml:space="preserve">برنامه ملی تنظیم منابع طبیعی </t>
  </si>
  <si>
    <t>دولت شاه، علیشینگ و علینگار</t>
  </si>
  <si>
    <t>غرس نمودن 222000 نهال چهارمغز و جلغوزه</t>
  </si>
  <si>
    <t>در انجمنهای ایجاد شده</t>
  </si>
  <si>
    <t>ژیری</t>
  </si>
  <si>
    <t>احیاوحفاظت (6) جریب قوریه</t>
  </si>
  <si>
    <t xml:space="preserve">ایجاد انجمن </t>
  </si>
  <si>
    <t>تناوب، تنظیم چرا در 9000 هکتار علفچرها</t>
  </si>
  <si>
    <t>تهیه ونصب 25 بیلبورهای تبلیغاتی درساحات علفچرهای انجمن ها</t>
  </si>
  <si>
    <t xml:space="preserve">تعدیل بودجه </t>
  </si>
  <si>
    <t>بند خاکی اعمار میگردد</t>
  </si>
  <si>
    <t xml:space="preserve">اعمار  20 بند های خاکی ابگردان </t>
  </si>
  <si>
    <t>تهیه 2 بسته های وسایل سروی علفچرها</t>
  </si>
  <si>
    <t xml:space="preserve">نظارت وارزییابی ازجریان تطبیق </t>
  </si>
  <si>
    <t>پنجوایی / یادوان</t>
  </si>
  <si>
    <t>اعمار دیوار گبیونی بادوان</t>
  </si>
  <si>
    <t>بذر جلغوزه نتیجه نداده است بدیل ان ایجاد قوریه جات چهار مغز</t>
  </si>
  <si>
    <t>تغیر بذر مستقیم جلغوزه به قوریه جات چهارمغزصورت گرفت</t>
  </si>
  <si>
    <t>خریداری 74 کیلوگرام تخم جلغوزه برای بذر با در نظر داشت 10فیصد ضایعات ( فی کیلو 2400 عدد تخم)</t>
  </si>
  <si>
    <t>تهیه و خریداری 10 لوحه های آگاهی عامه ( از فلز معه پایه ، نوشتن یک ماده قانون تنظیم جنگلات به سایز 120 در 80  سانتی متر) معه نصب در مسیر جنگلات طبیعی</t>
  </si>
  <si>
    <t>مرکز / شوخی</t>
  </si>
  <si>
    <t>احیاوحفاظت ( 10) جریب پلات بندی جنکلات جهت سرسبزی</t>
  </si>
  <si>
    <t xml:space="preserve">موجودیت جوی عاری از کثافات و جریان منظم آب </t>
  </si>
  <si>
    <t>توسعه 740 هکتار ساحات سبز جدید(به مساحت 740 هکتار ساحه فعالیت های تخنیکی (ایجاد تراس، اعمار چکدم ، حفر چقورک، حفر حوض های جذبی ، غرس نهال ، بذر نهال، آبیاری) در آن اجرا میگردد)</t>
  </si>
  <si>
    <t>حفظ و مراقبت 1768 هکتار ساحات سبز قبلی</t>
  </si>
  <si>
    <t>قلعه مسلم</t>
  </si>
  <si>
    <t>پرداخت 25 فیصد باقی مانده اعمار شبکه آبیاری توسعه قلعه مسلم</t>
  </si>
  <si>
    <t>اعمار شبکه آبیاری ساحه قلعه مسلم</t>
  </si>
  <si>
    <t>اعمار  سه شبکه آبیاری</t>
  </si>
  <si>
    <t>حفر سه حلقه چاه همراه با واترپمپ و  با تمام ضروریات</t>
  </si>
  <si>
    <t>اعمار ذخیره های توسعوی</t>
  </si>
  <si>
    <t>ایجاد سیستم برق سولری برای سه شبکه آبیاری</t>
  </si>
  <si>
    <t>مرکز و پغمان</t>
  </si>
  <si>
    <t>تنظیم قوریه جات غرض تولید نهال در 45 جریب زمین</t>
  </si>
  <si>
    <t>بخش تهیه و تدارکات مرکزی پروژه. و متفرقه</t>
  </si>
  <si>
    <t>مصارف اداری کمربند سبز کابل</t>
  </si>
  <si>
    <t>پغمان / خواجه لکن</t>
  </si>
  <si>
    <t>اعمار دیوار محافظوی خواجه لکن</t>
  </si>
  <si>
    <t>قیر ریزی سرک های داخل فارم بادام باغ</t>
  </si>
  <si>
    <t xml:space="preserve">چغچران </t>
  </si>
  <si>
    <t>تنظیم همه جانبه علفچرها به مشارکت جامعه</t>
  </si>
  <si>
    <t>تهیه ونصب50  بیلبورهای تبلیغاتی درساحات علفچرهای انجمن ها</t>
  </si>
  <si>
    <t>قرنطین  وجمع اوری تخم علوفه از ساحات 5%   تمام ساحات تحت پلان  فعالیت  جهت احیای طبیعی ازطریق 50 پروژه عایداتی</t>
  </si>
  <si>
    <t xml:space="preserve">بذر پاشی تخم علوفه درساحات 5% تمام ساحات هکتار  وحفاظت اآن برای 3سال ازطریق 50 پروژه عایداتی  </t>
  </si>
  <si>
    <t xml:space="preserve">اعمار ۸۵۴۵ چکدم وذخیره کوچک ابی درساحات ابریزه ها </t>
  </si>
  <si>
    <t xml:space="preserve">اعمار ۱۳ عدد بند های خاکی ابگردان </t>
  </si>
  <si>
    <t>تهیه 2 بسته وسایل سروی علفچرها</t>
  </si>
  <si>
    <t>مرکز ولایت غور</t>
  </si>
  <si>
    <t>شهرک / سیاه سنگ</t>
  </si>
  <si>
    <t>اعمار حوض آبیاری سیاه سنگ</t>
  </si>
  <si>
    <t>در سال بعدی تطبیق میگردد</t>
  </si>
  <si>
    <t>لعل سرجنگل / دنگک سیدان</t>
  </si>
  <si>
    <t>اعماردیوار محافظوی گبیونی گیرو جوی دنگک سیدان</t>
  </si>
  <si>
    <t>تهیه 2 پروژه های عایداتی کوچک برای حفاظت نهالهای تپه های زیارت سخی در ساحه 112 هکتار</t>
  </si>
  <si>
    <t xml:space="preserve">نصب 5 لوحه های آگاهی عامه (از فلز معه پایه، نوشتن یک ماده قانون تنظیم جنگلات به سایز 120 در 80  سانتی متر معه نصب در ساحه </t>
  </si>
  <si>
    <t>مرکز / قلعه خنجر</t>
  </si>
  <si>
    <t>قلعه خنجر گبیون وال اعمار</t>
  </si>
  <si>
    <t>مرکز ولایت / جنگل باغ</t>
  </si>
  <si>
    <t>شاه جوی / هولان رباط</t>
  </si>
  <si>
    <t>باز سازی کانال چینه هولان رباط</t>
  </si>
  <si>
    <t>شاه جوی / مهاجر کلی</t>
  </si>
  <si>
    <t>اعمار حوض هلال چینه</t>
  </si>
  <si>
    <t>ارغنداب / کوتنی کلی</t>
  </si>
  <si>
    <t>اعمار کوتنی سر کلی گبیون وال</t>
  </si>
  <si>
    <t>احیاوحفاظت (15) جریب قوریه</t>
  </si>
  <si>
    <t xml:space="preserve">مرکزفرخار،خواجه غار،ورسچ ،بنگی </t>
  </si>
  <si>
    <t xml:space="preserve">اعمار دیوار احطاوی فارم های تکثیری </t>
  </si>
  <si>
    <t xml:space="preserve">ورسج و نمک آب </t>
  </si>
  <si>
    <t>شناسایی و ایجاد تعداد (4 ) انجمن علفچرها و نباتات طبی  ، تعداد (2) اتحادیه  و تثبیت (400) هکتار ساحه برای تطبیق پروژه در  ولایت  .</t>
  </si>
  <si>
    <t>ارتقاء ظرفیت تعداد (440) نفر اعضای انجمن ها و کارمندان فنی ساحوی جهت احیا و حفاظت 400 هکتارساحات تخریب شده  نبات طبی هنگ به شکل مصنوعی  در  ولایت</t>
  </si>
  <si>
    <t>تهیه وتوزیع تعداد (20) پروژه عایداتی از طریق حفاظت و قرنطین بشکل طبیعی هنگ در ساحه (400) هکتار  در ولایت تحت پلان</t>
  </si>
  <si>
    <t>تهیه و توزیع تعداد ( 400) پکیج ارزش افزایی شیره بته های هنگ برای اعضای انجمن های تنظیم علفچر ونباتات طبی  در ولایت تحت پلان</t>
  </si>
  <si>
    <t xml:space="preserve">خریداری مقدار (1080) لیتر تیل پطرول  برای گردش 2 عراده موترسایکل مسول تطبیق پروژه ، (1) پایه کمره عکاسی  ، (1) پایه کمپیوتر لبتاپ و (1) پایه پروجکتور بمنظور تدویر ورکشاپ ها در  ولایت </t>
  </si>
  <si>
    <t>تهیه امکانات برای نظارت از فعالیت های تطبیق شده پروژه از (12) ساحه در ولایت تحت پلان</t>
  </si>
  <si>
    <t>ولسوالی ورسیج /  قریه ورغاب</t>
  </si>
  <si>
    <t>باز سازی وپخته کاری کانال ورغاب</t>
  </si>
  <si>
    <t>فرخار</t>
  </si>
  <si>
    <t xml:space="preserve">لایننگ ودیواری محافظوی کانال توپخانه </t>
  </si>
  <si>
    <t>4.823.468</t>
  </si>
  <si>
    <t xml:space="preserve"> دشت قلعه و تالقان</t>
  </si>
  <si>
    <t>پروژه بازسازی شبکه های درجه دوم و سوم مربوط کانال های عمومی نهر چمن، دشت قلعه و قلبرس ( NCB003) که این قرارداد در ولایت متذکره شامل49  کانال فرعی میباشد</t>
  </si>
  <si>
    <t>خواجه غار و تالقان</t>
  </si>
  <si>
    <t>پروژه بازسازی شبکه های درجه دوم و سوم مربوط کانال های عمومی ، شهرون 1 و 2  و شورآب ( NCB002)  که این قرارداد در ولایت متذکره شامل 33  کانال فرعی میباشد</t>
  </si>
  <si>
    <t>خواجه بهاودین وینگی قلعه</t>
  </si>
  <si>
    <t>پروژه بازسازی شبکه های درجه دوم و سوم مربوط کانال های عمومی مومن آباد، قتق جر و یتیم تپه ( NCB004) که این قرارداد در ولایت متذکره شامل 45  کانال فرعی میباشد</t>
  </si>
  <si>
    <t>درقد</t>
  </si>
  <si>
    <t>پروژه بازسازی شبکه های درجه دوم و سوم مربوط کانال های عمومی  ارپولی و قغنی ( NCB005) که این قرارداد در ولایت متذکره شامل 7  کانال فرعی میباشد</t>
  </si>
  <si>
    <t>تخار</t>
  </si>
  <si>
    <t>پروژه بازسازی کانال  عمومی ارپولی (NCB-007)</t>
  </si>
  <si>
    <t>خواجه غار</t>
  </si>
  <si>
    <t>قرارد داد محلی برای ایجاد آبریزه و ارتقای ظرفیت انجمن محافظت جنگلات ( ابریزه هموارسای)</t>
  </si>
  <si>
    <t>قرارد داد محلی برای ایجاد آبریزه و ارتقای ظرفیت انجمن محافظت جنگلات (ابریزه اسفند دشت)</t>
  </si>
  <si>
    <t>تالقان</t>
  </si>
  <si>
    <t>قرارد داد محلی برای ایجاد آبریزه و ارتقای ظرفیت انجمن محافظت جنگلات ( ابریزه غارلی سای)</t>
  </si>
  <si>
    <t>ینگی قلعه</t>
  </si>
  <si>
    <t>قرارد داد محلی برای ایجاد آبریزه و ارتقای ظرفیت انجمن محافظت جنگلات ( ابریزه توپ  تاش)</t>
  </si>
  <si>
    <t>قرارد داد محلی برای ایجاد آبریزه و ارتقای ظرفیت انجمن محافظت جنگلات ( ابریزه فراهت)</t>
  </si>
  <si>
    <t>خواجه بهاودین</t>
  </si>
  <si>
    <t>قرارد داد محلی برای ایجاد آبریزه و ارتقای ظرفیت انجمن محافظت جنگلات ( ابریزه چوپان شهید)</t>
  </si>
  <si>
    <t>قرارد داد محلی برای ایجاد آبریزه و ارتقای ظرفیت انجمن محافظت جنگلات (‌ابریزه تاش کوتل)</t>
  </si>
  <si>
    <t>دشت قلعه</t>
  </si>
  <si>
    <t>قرارد داد محلی برای ایجاد آبریزه و ارتقای ظرفیت انجمن محافظت جنگلات (‌ابریزه دادسی)</t>
  </si>
  <si>
    <t>قرارد داد محلی برای ایجاد آبریزه و ارتقای ظرفیت انجمن محافظت جنگلات (‌ابریزه بای نظر دره)</t>
  </si>
  <si>
    <t xml:space="preserve">برنامه سرمایه گذاری انکشاف منابع آبی </t>
  </si>
  <si>
    <t>احیاء و بازسازی کانال فرعی آبیاری چپ قن کانال</t>
  </si>
  <si>
    <t xml:space="preserve">احیاء و بازسازی کانال فرعی آبیاری چپ قن دوم </t>
  </si>
  <si>
    <t xml:space="preserve">احیاء و بازسازی کانال فرعی آبیاری چپ قن  سوم </t>
  </si>
  <si>
    <t>احیاء و بازسازی کانال فرعی آبیاری گل تپه</t>
  </si>
  <si>
    <t xml:space="preserve">احیاء و بازسازی کانال فرعی آبیاری قفلاتون اول </t>
  </si>
  <si>
    <t xml:space="preserve">احیاء و بازسازی کانال فرعی آبیاری قفلاتون دوم </t>
  </si>
  <si>
    <t xml:space="preserve">احیاء  و باز سازی کانال فرعی آبیاری قفلاتون سوم </t>
  </si>
  <si>
    <t>احیاء و بازسازی کانال فرعی آبیاری قزاق</t>
  </si>
  <si>
    <t xml:space="preserve">احیاء و بازسازی کانال فرعی آبیاری شاروان قلاغ اول </t>
  </si>
  <si>
    <t xml:space="preserve">احیاء و بازسازی کانال فرعی آبیاری شاروان قرلغ دوم </t>
  </si>
  <si>
    <t>درحال قرارداد</t>
  </si>
  <si>
    <t>سمکنی، گرده سیلی، خاخی اریوب، شواک، جانی خیل</t>
  </si>
  <si>
    <t>پروژه احداث قوریه جات جلغوزه و چهارمغز</t>
  </si>
  <si>
    <t xml:space="preserve">1- پرداخت یک قسط (10 افغانی) نهال جلغوزه
2-پرداخت دو قسط (20 افغانی) نهال چهار مغز
3-تدویر برنامه های آگاهی عامه و ترننگ ها
4- ایجاد 20 مکتب ساخوی دهاقین 
5- توزیع جواز نامه برای 36 انجمن جنگلداری
6-انتقال 1.08 میلیون نهال چهارمغز 
7- احیای مجدد 1350 هکتار ساحه جنگلات چهار مغز
</t>
  </si>
  <si>
    <t>ولسوالی پتان</t>
  </si>
  <si>
    <t xml:space="preserve">اجوره انتقال، غرس و آبیاری نهالهای چهار مغز که در سال 1396 و 1398 توسط انجمنهای جنگلداری تولید گردیده است </t>
  </si>
  <si>
    <t>احیاوحفاظت (8)  جریب قوریه</t>
  </si>
  <si>
    <t>جاجی اریوب</t>
  </si>
  <si>
    <t>انجام سروی تخنیکی در جنگلات مندیر ولایت پکتیا غرض اعلام ساحه منحیث پارک ملی</t>
  </si>
  <si>
    <t>شناسایی و ایجاد انجمن پارک ملی جنگلات مندیر</t>
  </si>
  <si>
    <t>ظرفیت سازی اعضاء انجمن پارک ملی جنگلات مندیر</t>
  </si>
  <si>
    <t>گردیز / ابراهیم خیل</t>
  </si>
  <si>
    <t>تحکیم کاری سر بند و کانال رحمت خیل</t>
  </si>
  <si>
    <t>مرکز / صادق خیل</t>
  </si>
  <si>
    <t>اعمار پروژه سر بند و کانال صادق خیل</t>
  </si>
  <si>
    <t>برنامه ملی تنظیم منابع طبیعی به اشتراک جامعه)</t>
  </si>
  <si>
    <t>احیاوحفاظت (5)جریب قوریه</t>
  </si>
  <si>
    <t>یکاولنگ</t>
  </si>
  <si>
    <t>تبدیل نمودن یک چاه جذبی به چاه سپتیک در میانه بند</t>
  </si>
  <si>
    <t xml:space="preserve">ساخت و نصب 500 متر کتاره کناره پیاده رو بند ذوالفقار </t>
  </si>
  <si>
    <t>ساخت و نصب موجودیت8 باب سایه بان 3x3 متر</t>
  </si>
  <si>
    <t xml:space="preserve">اعمار 2 باب محل تماشا </t>
  </si>
  <si>
    <t xml:space="preserve"> خریداری 10 عدد بطری 150 امپیری، تندرلایت  تایلندی، پلیت بلند جهت تامین برق دفتر پارک و مرکز سیاحین </t>
  </si>
  <si>
    <t>موجودیت 50 تخته لوحه معلوماتی کوچک ، متوسط و بزرگ برای پارک ملی بامیان</t>
  </si>
  <si>
    <t>حفر 96 هزار چقرک و بذر مستقیم پسته و آبیاری و حفاظت آن  برای مدت 10 سال توسط انجمن های مربوطه</t>
  </si>
  <si>
    <t>خریداری 176 کیلوگرام تخم پسته با کیفیت برای بذر مستقیم با در نظرداشت 10 فیصد ضایعات، ( فی کیلو 1200 عدد تخم )</t>
  </si>
  <si>
    <t xml:space="preserve">نصب 20 لوحه آگاهی عامه ( از فلز معه پایه ، نوشتن یک ماده قانون تنظیم جنگلات به سایز 120 در 80  سانتی متر معه نصب در ساحه </t>
  </si>
  <si>
    <t>مرکز  ولایت</t>
  </si>
  <si>
    <t xml:space="preserve"> تنظیم منابع طبیعی به اشتراک جامعه</t>
  </si>
  <si>
    <t>بالامرغاب / دهن شور پشمکی</t>
  </si>
  <si>
    <t>اعمار سیستم آبیاری سولری دهن شور پشمکی (بوکن)</t>
  </si>
  <si>
    <t>بالامرغاب / میران زی (بیشه)</t>
  </si>
  <si>
    <t>اعمار سیستم آبیاری سولری میران زی ( بیشه)</t>
  </si>
  <si>
    <t>بالامرغاب / بابی ها</t>
  </si>
  <si>
    <t>اعمار سیستم آبیاری سولری بابی ها</t>
  </si>
  <si>
    <t>بالا مرغاب / میران زی (بیشه)</t>
  </si>
  <si>
    <t>اعمار دیوار گبیونی بیشه</t>
  </si>
  <si>
    <t>غوربندها</t>
  </si>
  <si>
    <t>احیاوحفاظت (8)جریب قوریه</t>
  </si>
  <si>
    <t>مشکلات اجتماعی</t>
  </si>
  <si>
    <t xml:space="preserve">اعمار 26 چکدم وذخیره کوچک ابی درساحات ابریزه ها </t>
  </si>
  <si>
    <t>نظارت وارزیابی کارمندان</t>
  </si>
  <si>
    <t xml:space="preserve">دهنه غوری و پلخمری بغلان </t>
  </si>
  <si>
    <t>مرکز / دند غوری</t>
  </si>
  <si>
    <t>باز سازی سیستم های آبیاری سیفون و پاک کاری کانال جوی نو</t>
  </si>
  <si>
    <t>پرچاوه و پاک کاری کانال نو جوی</t>
  </si>
  <si>
    <t>زیروک، سر روضه، سروبی، ارگون،</t>
  </si>
  <si>
    <t>احداث قوریه جات جلغوزه و چهارمغز</t>
  </si>
  <si>
    <t>سروبی / نو ی کلا</t>
  </si>
  <si>
    <t>اعمار دیوار گبیونی نوی کلا</t>
  </si>
  <si>
    <t>مرکز ولسوالی جوین، بکواه و قلعه کاه</t>
  </si>
  <si>
    <t>احداث 70 جریب باغ عناب</t>
  </si>
  <si>
    <t>ولسوالی بالابلوک</t>
  </si>
  <si>
    <t xml:space="preserve">ایجاد یک انجمن </t>
  </si>
  <si>
    <t>ظرفیت سازی 100 نفر اعضای انجمن</t>
  </si>
  <si>
    <t>تهیه ونصب 25 بیلبوردهای تبلیغاتی درساحات علفچرهای انجمن ها</t>
  </si>
  <si>
    <t xml:space="preserve">قرنطین وجمع آوری تخم علوفه ازساحه 5% تحت پلان ازطریق 25 پروژه عایداتی  </t>
  </si>
  <si>
    <t>اعمار 3000 چکدم وذخیره کوچک ابی درساحات ابریزه ها / مترمکعب</t>
  </si>
  <si>
    <t xml:space="preserve">اعمار 20 بند های خاکی ابگردان </t>
  </si>
  <si>
    <t xml:space="preserve">نظارت وارزیابی ومصارف اداری </t>
  </si>
  <si>
    <t>مرکز / دار آباد پائین</t>
  </si>
  <si>
    <t>تحکیم کاری دیوار گبیونی زمین های زراعتی دار آباد پائین</t>
  </si>
  <si>
    <t>شهرستان</t>
  </si>
  <si>
    <t>شهرستان / ککرک ورغه</t>
  </si>
  <si>
    <t>باز سازی کانال تاجوی ککرک ورغه</t>
  </si>
  <si>
    <t>وزارت زراعت ، آبیاری و مالداری 
ریاست عمومی پلان و هماهنگی برنامه ها 
ولایت بدخشان 
گزارش از پیشرفت فعالیت های پلان شده ماه عقرب  سال 1399</t>
  </si>
  <si>
    <t xml:space="preserve">وزارت زراعت ، آبیاری و مالداری 
ریاست عمومی پلان و هماهنگی برنامه ها 
ولایت کندز
گزارش از پیشرفت فعالیت های پلان شده ماه عقرب سال 1399
</t>
  </si>
  <si>
    <t>وزارت زراعت ، آبیاری و مالداری 
ریاست عمومی پلان و هماهنگی برنامه ها 
ولایت ارزگان
گزارش از پیشرفت فعالیت های پلان شده ماه عقرب سال 1399</t>
  </si>
  <si>
    <t>وزارت زراعت ، آبیاری و مالداری 
ریاست عمومی پلان و هماهنگی برنامه ها 
ولایت فاریاب
گزارش از پیشرفت فعالیت های پلان شده ماه عقرب سال 1399</t>
  </si>
  <si>
    <t>وزارت زراعت ، آبیاری و مالداری 
ریاست عمومی پلان و هماهنگی برنامه ها 
ولایت کابل
گزارش از پیشرفت فعالیت های پلان شده ماه عقرب   سال 1399</t>
  </si>
  <si>
    <t>وزارت زراعت ، آبیاری و مالداری 
ریاست عمومی پلان و هماهنگی برنامه ها 
ولایت تخار
گزارش از پیشرفت فعالیت های پلان شده ماه عقرب سال 1399</t>
  </si>
  <si>
    <t>موسی خیل، خاخی میدان، دوی مندی، سپیره، و تنی</t>
  </si>
  <si>
    <t xml:space="preserve">1- پرداخت یک قسط (10 افغانی) نهال جلغوزه
2-پرداخت دو قسط (20 افغانی) نهال چهار مغز
3-تدویر برنامه های آگاهی عامه و ترننگ ها
4- ایجاد 20 مکتب ساحوی دهاقین 
5- توزیع جواز نامه برای 36 انجمن جنگلداری
6-انتقال 1.08 میلیون نهال چهارمغز 
7- احیای مجدد 1350 هکتار ساحه جنگلات چهار مغز
</t>
  </si>
  <si>
    <t>اسمعیل خیل / علی وات</t>
  </si>
  <si>
    <t>اعمار دیوار گبیونی علی وات</t>
  </si>
  <si>
    <t>احداث 90 هکتار باغهای جدید درختان مثمر</t>
  </si>
  <si>
    <t>بمنظور تسریع تولید محصولات زراعتی بودجه پروژه متذکره به پروژه طرح مدیریت مصولات زراعتی تعدیل گردید.</t>
  </si>
  <si>
    <t>در عوض پروژه متذکره ذخایر پیاز وکچالو در سال روان  ایجاد میگردد</t>
  </si>
  <si>
    <t>اعمار 12 باب چک دم های  کنترولی کوچک</t>
  </si>
  <si>
    <t>توزبع 20  بسته  وسایل باغداری برای کارمندان ترویج و دهاقین پیشقدم</t>
  </si>
  <si>
    <t xml:space="preserve"> دایر کردن 2 جلسه ( کورس های آموزشی ) برای آموزش دهنده گان (مسولین ولایتی, مامورین ترویج و دهاقین پیشقدم) </t>
  </si>
  <si>
    <t xml:space="preserve">توزیع تلک های دلتا برای جلوگیری از امراض و حشرات در200 قطعات نمایشی باغها </t>
  </si>
  <si>
    <t>توزیع 8 بسته از لوازم پروسیس سبزیجات برای دهاقین طبقه اناث</t>
  </si>
  <si>
    <t>اعمار واحد های تولیدی کود عضوی برای باغچه های خانگی به تعداد 25 باب</t>
  </si>
  <si>
    <t xml:space="preserve">علیشیر و اسپیره </t>
  </si>
  <si>
    <t xml:space="preserve">توزیع بسته  های حمایوی برای   1170تن مستفدین مالداری از طبقه ذکورو اناث  </t>
  </si>
  <si>
    <t>ایجاد (  40   ) ذخیره گاه پیاز، ایجاد ذخیره گاه ( 51   ) کچالو،  وتوزیع (   30 ) وسایل سولری خشک کنند میوه وسبزیجات</t>
  </si>
  <si>
    <t>بودجه پروژه متذکره در بخش مبارزه با کرونا تعدیل گردید</t>
  </si>
  <si>
    <t>پروژه متذکره در سال 1400 در پلان در نظر گرفته شده است تطبیق میگردد</t>
  </si>
  <si>
    <t>در سال 1400 قرار است پروژه تطبیق گردد</t>
  </si>
  <si>
    <t xml:space="preserve">تعدیل </t>
  </si>
  <si>
    <t>در سال 1400 در پلان است که قرار است تطبیق گردد</t>
  </si>
  <si>
    <t>در سال 1400 در پلان است قرار است تطبیق گردد</t>
  </si>
  <si>
    <t>در سال 1400 قرار است تطبیق گردد</t>
  </si>
  <si>
    <t>قرا ر است در سال 1400 تطبیق گردد</t>
  </si>
  <si>
    <t>قرار است در سال 1400 تطبیق گردد</t>
  </si>
  <si>
    <t xml:space="preserve">طبق لزوم دید مقامات بودجه این فعالیت در بخش مدیر یت مبارزه با کرونا تعدیل شده است </t>
  </si>
  <si>
    <t>پروزه بسته شد</t>
  </si>
  <si>
    <t>در سال 1400 تطبیق میگردد</t>
  </si>
  <si>
    <t>قرار است در سال آینده تطبیق گردد</t>
  </si>
  <si>
    <t xml:space="preserve">توزیع بسته  های حمایوی برای 780 تن مستفدین مالداری از طبقه ذکور 
توزیع بسته  های حمایوی برای   مستفدین مالداری از طبقه اناث </t>
  </si>
  <si>
    <t xml:space="preserve">بودجه آن در بخش خریداری  آفتکشها  جهت مبارزه با آفات و امراض نباتی تعدیل گردیده است و آفتکشها خریداری شده است </t>
  </si>
  <si>
    <t xml:space="preserve">تعدیل شده </t>
  </si>
  <si>
    <t xml:space="preserve">طبق لزوم دید مقامات صالحه بودجه آن در بخش مبارزه با کرونا تعدیل گردیده است </t>
  </si>
  <si>
    <t>قرار است درسال 1400 تطبیق گردد</t>
  </si>
  <si>
    <t xml:space="preserve">اعمار یک باب گدام 3هزار تنه ذخایر استراتیژیک غله جات با دوباب اتاق اداری آن معه چاه سپتیک . </t>
  </si>
  <si>
    <t xml:space="preserve">توزیع بسته  های حمایوی برای 910 تن مستفدین مالداری از طبقه ذکور 
توزیع بسته  های حمایوی برای 350 تن مستفدین مالداری از طبقه اناث </t>
  </si>
  <si>
    <t>قرار است درسل 1400 تطبیق گردد</t>
  </si>
  <si>
    <t>پروسه تدارکاتی آغاز گردیده ودرسال 1400 تطبیق میگردد</t>
  </si>
  <si>
    <t>در سال 1400در پلان گرفته شده است</t>
  </si>
  <si>
    <t>در سال 1400تطبیق میگردد</t>
  </si>
  <si>
    <t xml:space="preserve">توزیع بسته  های حمایوی برای 780تن مستفدین مالداری از طبقه ذکور ،توزیع بسته  های حمایوی برای مستفدین مالداری از طبقه اناث </t>
  </si>
  <si>
    <t>از جمله پروژه های متذکره دو سردخانه صفر انرژه به سال جدید انتقال گردید.</t>
  </si>
  <si>
    <t>در حال جریان</t>
  </si>
  <si>
    <t>پروژه های ساختمانی تکمیل وتنها توزیع 30 پایه وسایل سولری خشکن به نسبت مشکلات تدارکاتی باقی که در سال 1400 توزیع میگردد</t>
  </si>
  <si>
    <t>در سال 1400 در پلان است کار آن آغاز میگردد</t>
  </si>
  <si>
    <t>ایجاد (    218 ) ذخیره گاه پیاز، ایجاد  (   103 ) ذخیره گاه  کچالو، ایجاد (     7 ) سردخانه انرژی صفری  وتوزیع (  50   ) وسایل سولری خشک کنند میوه وسبزیجات</t>
  </si>
  <si>
    <t>پروژه های ساختمانی تکمیل وتنها توزیع 50 پایه وسایل سولری خشکن به نسبت مشکلات تدارکاتی باقی که در سال 1400 توزیع میگردد</t>
  </si>
  <si>
    <t>تکمیل گریده</t>
  </si>
  <si>
    <t>ایجاد (94 ) ذخیره گاه پیاز، ایجاد (    254) ذخیره گاه کچالو، ایجاد (    5  ) سردخانه انرژی صفری  ایجاد (    40) کشمش خانه های عصری وتوزیع (    30) وسایل سولری خشک کنند میوه وسبزیجات</t>
  </si>
  <si>
    <t xml:space="preserve">پروژه های ساختمانی تکمیل وتنها توزیع 30 پایه وسایل سولری خشکن به نسبت مشکلات تدارکاتی باقی که در سال 1400 توزیع میگردد </t>
  </si>
  <si>
    <t>در سال 1400 در پلان در نظر گرفته شده است</t>
  </si>
  <si>
    <t>تعداد محدود از سردخانه های صفری به نسبت سردی هوا ناتکمیل است.</t>
  </si>
  <si>
    <t>تعداد محدود از پروژه های ساختمانی به نسبت سردی هوا ناتکمیل مانده و20 پایه خشک کن سولری توزیع و40  دیگر در سال 1400 توزیع میگردد</t>
  </si>
  <si>
    <t>تکمیل است</t>
  </si>
  <si>
    <t xml:space="preserve">ایجاد (    20 ) ذخیره گاه پیاز، ایجاد  (   50 ) ذخیره گاه  کچالو، ایجاد (  5    ) سردخانه انرژی صفری  ایجاد (   200  ) کشمش خانه های عصری وتوزیع ( 20 ) وسایل سولری خشک کنند میوه وسبزیجات </t>
  </si>
  <si>
    <t>پروژه های ساختمانی تکمیل وتنها توزیع 20 پایه وسایل سولری خشکن به نسبت مشکلات تدارکاتی باقی که در سال 1400 توزیع میگردد</t>
  </si>
  <si>
    <t xml:space="preserve"> پروژه های ساختمانی تکمیل وتنها توزیع 70 پایه وسایل سولری خشکن به نسبت مشکلات تدارکاتی باقی که در سال 1400 توزیع میگردد</t>
  </si>
  <si>
    <t xml:space="preserve"> بنابه گسترش شیوع کرونا و عدم موجودیت قراردادی مطابق به شرایط پروژه این فعالیت ها در این سال تطبیق نگردید ودر سال اینده  تطبیق خواهد شد. </t>
  </si>
  <si>
    <t>درپلان سال بعدی شامل میباشد</t>
  </si>
  <si>
    <t xml:space="preserve">درحال جریان است </t>
  </si>
  <si>
    <t xml:space="preserve"> گزارش سرمایه گذاری فعالیت متذکره‌ اماده گردیده است  و منظوری  ADB  اخذ  گردیده است وجهت منظوری به کمیته تعین شده توسط وزیر صاحب  شریک خواهد گردید. </t>
  </si>
  <si>
    <t xml:space="preserve"> بنابه گسترش شیوع کرونا و عدم موجودیت قراردادی مطابق به شرایط پروژه این فعالیت ها در این سال تطبیق نگردید ودر سال اینده  تطبیق خواهد شد.</t>
  </si>
  <si>
    <t>در پلان سال مالی 1400 شامل میباشد</t>
  </si>
  <si>
    <t xml:space="preserve"> گزارش سرمایه گذاری فعالیت متذکره‌ اماده گردیده است وعنقریب جهت اخذ منظوری به ADB  شریک خواهد گردیده وهمچنان  جهت منظوری به کمیته تعین شده توسط وزیر صاحب  شریک خواهد گردید. </t>
  </si>
  <si>
    <t xml:space="preserve"> گزارش سرمایه گذاری فعالیت متذکره‌ اماده گردیده است وعنقریب جهت اخذ منظوری به ADB  شریک میگردد </t>
  </si>
  <si>
    <t>در سال 1400تکمیل میگردد</t>
  </si>
  <si>
    <t>در سال 1400 تکمیل میگردد</t>
  </si>
  <si>
    <t>وزارت زراعت ، آبیاری و مالداری 
ریاست عمومی پلان و هماهنگی برنامه ها 
ولایت نیمروز
گزارش از پیشرفت فعالیت های پلان شده ماه قوس سال 1399</t>
  </si>
  <si>
    <t>وزارت زراعت ، آبیاری و مالداری 
ریاست عمومی پلان و هماهنگی برنامه ها 
ولایت پنجشیر
گزارش از پیشرفت فعالیت های پلان شده ماه قوس سال 1399</t>
  </si>
  <si>
    <t>وزارت زراعت ، آبیاری و مالداری 
ریاست عمومی پلان و هماهنگی برنامه ها 
ولایت جوزجان
گزارش از پیشرفت فعالیت های پلان شده ماه قوس سال 1399</t>
  </si>
  <si>
    <t>وزارت زراعت ، آبیاری و مالداری 
ریاست عمومی پلان و هماهنگی برنامه ها 
ولایت هلمند
گزارش از پیشرفت فعالیت های پلان شده ماه قوس  سال 1399</t>
  </si>
  <si>
    <t>وزارت زراعت ، آبیاری و مالداری 
ریاست عمومی پلان و هماهنگی برنامه ها 
ولایت کنرها
گزارش از پیشرفت فعالیت های پلان شده ماه قوس سال 1399</t>
  </si>
  <si>
    <t>وزارت زراعت ، آبیاری و مالداری 
ریاست عمومی پلان و هماهنگی برنامه ها 
ولایت خوست
گزارش از پیشرفت فعالیت های پلان شده ماه قوس سال 1399</t>
  </si>
  <si>
    <t>وزارت زراعت ، آبیاری و مالداری 
ریاست عمومی پلان و هماهنگی برنامه ها 
ولایت سمنگان
گزارش از پیشرفت فعالیت های پلان شده ماه قوس سال 1399</t>
  </si>
  <si>
    <t>وزارت زراعت ، آبیاری و مالداری 
ریاست عمومی پلان و هماهنگی برنامه ها 
ولایت هرات
گزارش از پیشرفت فعالیت های پلان شده ماه قوس سال 1399</t>
  </si>
  <si>
    <t>بنابر مشکلات تدارکاتی تطبیق نگردیده است و در سال بعدی در پلان شامل بوده  و تطبیق میکردد</t>
  </si>
  <si>
    <t>نبود زمین دولتی (وزارت زراعت) برای ایجاد نمودن گرین هاوس ها.</t>
  </si>
  <si>
    <t xml:space="preserve">در سال بعدی در پلان میباشد </t>
  </si>
  <si>
    <t xml:space="preserve">تکمیل گردیده اسیت </t>
  </si>
  <si>
    <t xml:space="preserve">بنابر مشکلات تخنیکی و تصمیم دونر  تطبیق نگردیده است </t>
  </si>
  <si>
    <t>نظر به مشکلات تخنیکی در پلان سال بعدی شامل نبوده و در صورت حل مشکل پروژه در پلان خویش شامل خواهد ساخت</t>
  </si>
  <si>
    <t>در سال 1400 در پلان است</t>
  </si>
  <si>
    <t>قراراست در سال 1400 تطبیق گردد</t>
  </si>
  <si>
    <t>در صورت دریافت بودجه پروژه آغاز میگردد</t>
  </si>
  <si>
    <t>اعمار یک باب کمپلکس سردخانه عصری 5000 متریک تنه در ولایت بلخ</t>
  </si>
  <si>
    <t xml:space="preserve">توزیع 2862 قرضه های زراعتی و مالداری برای دهاقین و مالداران </t>
  </si>
  <si>
    <t>تکیمل گردیده</t>
  </si>
  <si>
    <t>تدویر کورس های آموزشی کشمیره و خریداری بسته های مربوط آن برای 110 مالدار</t>
  </si>
  <si>
    <t xml:space="preserve">تدویر کورس های اموزشی برای 100 مالدار </t>
  </si>
  <si>
    <t xml:space="preserve">احداث نمودن 10 باب گرین هوسهای بزرگ برای دهاقین </t>
  </si>
  <si>
    <t xml:space="preserve">نهرشاهی، دهدادی، شولگره، بلخ، خلم </t>
  </si>
  <si>
    <t>بازسازی کانال جوی دهنه</t>
  </si>
  <si>
    <t xml:space="preserve">دهدادی </t>
  </si>
  <si>
    <t xml:space="preserve">بازسازی کانال جرگه </t>
  </si>
  <si>
    <t>مجادله علیه کنه های ، شپشک ها ی نباتی، مور پتدار ، مگس خربوزه ،ملخ ، کفشک گندم،گیاه هرزه،،یوریا اسپری، لایم سلفر ، کرم تاج انار، ،کرم قطع کننده سبزیجات  ،کرم ریشه خوار علفچرها ،موش .</t>
  </si>
  <si>
    <t xml:space="preserve">ایجاد (   305  ) ذخیره گاه پیاز، ایجاد  (   90 ) ذخیره گاه  کچالو، ایجاد (   18 ) سردخانه انرژی صفری  ایجاد ( 145  ) کشمش خانه های عصری وتوزیع (   65 ) وسایل سولری خشک کنند میوه وسبزیجات </t>
  </si>
  <si>
    <t xml:space="preserve">1- روغنیات جهت آماده ساختن زمین توسط ماشین آلات زراعتی برای تجارب .
2-حفظ مراقبت وسایط ماشین الات زراعتی وزیربنا های فارم 
3-تهیه وخریداری کود کیمیاوی (دی ای پی و یوریا پوتاشیم ).
4- تهیه وخریداری انبارحیوانی  
5- تهیه وخریدای ادویجات کیمیاوی( آفت کش ،حشره کش، گیاه کش، قارچ کشها)
6- وسایل ترمیم ومواد کمیاوی برای لابراتوارمیوه جات 
7- تهیه وخریدرای روغن زمستانی                            8- تهیه وخریداری مواد باغداری (محلول پاش، قیچی شاخه بری، زینه، اره )
9- استخدام کارگرروزمزد به اساس ۲۶ روزکاری به تعداد 133نفردریک ماه بنابرضرورت به تعداد مختلف درروزکارمینمایند.
</t>
  </si>
  <si>
    <t>توزیع بسته  های حمایوی برای 1820 تن مستفدین مالداری از طبقه ذکور و اناث</t>
  </si>
  <si>
    <t>قرارداد با 28 تن نماینده  گان  ترویجی از طبقه اناث برای انجام دادن خدمات ترویجی مالداری (دایر نمودن کورسهای اموزشی برای دهاقین اناث)</t>
  </si>
  <si>
    <t>تهیه 250000 چوچه ماهی برای فارم های ماهی پروری خصوصی که از قبل اعمار گردیده است</t>
  </si>
  <si>
    <t>قرارداد با 14 باب کلینیک های ساحوی وترنری (VFUs)  برای برنامه تعهدات صحی ( دایر کردن کورسها، تهیه بسته های آموزشی DRSF, LSF و جمع آوری بسته سمپل ها و پرداخت هزینه ترانسپورت برای انتقال سمپل ها به اداره ولایتی)، وهمچنین پرداخت مصارف تیلفونی کارمندان دولتی (PVOs )</t>
  </si>
  <si>
    <t>خریداری  220000  دوز واکسین بروسلوز برای حیوانات کوچک ( گوسفند و بزها )</t>
  </si>
  <si>
    <t>خریداری  28000 دوز واکسین بروسلوز برای حیوانات بزرگ</t>
  </si>
  <si>
    <t>احداث 50 قطعات نمایشی  زعفران ( که فی قطعه دارای 1000m2 مساحت میباشد)</t>
  </si>
  <si>
    <t>توزیع تخم سبزیجات برای 1000 باب باغچه خانگی</t>
  </si>
  <si>
    <t xml:space="preserve"> ایجاد 5 باب کلینیک سیار نباتی برای کنترول آفات وامراض نباتی</t>
  </si>
  <si>
    <t>توزیع  خریطه کاغذی انار و خربوزه  برای کنترول میخانیکی در مقابل امراض و افات نیاتی در 200  جریب زمین</t>
  </si>
  <si>
    <t xml:space="preserve">بازدید وملاقات های  نمایشی کارمندان باغداری از ساحه به سطح  زون  ولایت </t>
  </si>
  <si>
    <t xml:space="preserve">اعمار و مدیریت آبریزه های کوچک بخاطر آبیاری4 هکتارزمین للمی و بدون اب </t>
  </si>
  <si>
    <t>نصب سیستم چایله در 5 هکتار باغهای انگور</t>
  </si>
  <si>
    <t xml:space="preserve">احداث 4 هکتار باغهای متراکم و نیمه متراکم </t>
  </si>
  <si>
    <t>خریداری  4 تن مواد خوراکه فارم گوسفند قره قل</t>
  </si>
  <si>
    <t>در سال بعدی در  نظر گرفته میشود</t>
  </si>
  <si>
    <t>تدویر یک دوره کورس آموزشی در بخش ماهی پروری</t>
  </si>
  <si>
    <t>ایجاد فارم یک باب تکثیری ماهیان سردآبی و گرم آبی</t>
  </si>
  <si>
    <t>فراهم آوری تهسیلات جهت احداث 16 قطعه نمایشی گندم (انتقال بودجه جهت تهیه مواد زراعتی، آموزش و تجلیل از روز مزرعه به مستوفیت ولایت مربوطه و ارسال رهنمود احداث قطعات نمایشی همراه با پلان مالی به ریاست های زراعت ولایت)</t>
  </si>
  <si>
    <t>توزیع  450 متریک تن  تخم گندم اصلاح شدۀ بذری</t>
  </si>
  <si>
    <t>مارمل و خلم</t>
  </si>
  <si>
    <t>تکمیل  گردیده است</t>
  </si>
  <si>
    <t>احیاوحفاظت (10)جریب قوریه</t>
  </si>
  <si>
    <t>بلخ / زرگران</t>
  </si>
  <si>
    <t>تهیه 1333 کیلوگرام تخم نباتات خشک پسند</t>
  </si>
  <si>
    <t xml:space="preserve">آبیاری 266667 نهال های غرس شده </t>
  </si>
  <si>
    <t>تهیه  4000000 لیتر آب برای آبیاری</t>
  </si>
  <si>
    <t>حفرچقرک وغرس 266667 نهال</t>
  </si>
  <si>
    <t>کشیدن 266667 نهال ریشه ازمرکز تولیدی وتکثیری</t>
  </si>
  <si>
    <t>تهیه زمین وغرس 333333 قلمه</t>
  </si>
  <si>
    <t xml:space="preserve">تهیه 333333 قلمه </t>
  </si>
  <si>
    <t>وزارت زراعت ، آبیاری و مالداری 
ریاست عمومی پلان و هماهنگی برنامه ها 
ولایت بلخ
گزارش از پیشرفت فعالیت های پلان شده ماه قوس سال 1399</t>
  </si>
  <si>
    <t xml:space="preserve">به نسبت شیوع ویروس کرونا در اوایل سال تطبیق نگردیده است </t>
  </si>
  <si>
    <t>در پلان سال بعدی در نظر گرفته شده است</t>
  </si>
  <si>
    <t xml:space="preserve">بنابر مشکلات تخنیکی و تصمیم دونر  در سال بعدی تطبیق میگردد </t>
  </si>
  <si>
    <t xml:space="preserve">در پلان سال بعدی شامل بوده و تطبیق میگردد </t>
  </si>
  <si>
    <t>نظر به مشکلات تدارکات در سال اینده تطبیق میگردد.</t>
  </si>
  <si>
    <t xml:space="preserve">در سال بعدی تطبیق میگردد </t>
  </si>
  <si>
    <t>وزارت زراعت ، آبیاری و مالداری 
ریاست عمومی پلان و هماهنگی برنامه ها 
ولایت نورستان
گزارش از پیشرفت فعالیت های پلان شده ماه قوس سال 1399</t>
  </si>
  <si>
    <t>وزارت زراعت ، آبیاری و مالداری 
ریاست عمومی پلان و هماهنگی برنامه ها 
ولایت میدان وردگ
گزارش از پیشرفت فعالیت های پلان شده ماه قوس سال 1399</t>
  </si>
  <si>
    <t xml:space="preserve">در پلان سال مالی 1400 شامل میباشد </t>
  </si>
  <si>
    <t>پروپوزل متذکره در حال ترتیب است و تا حال تکمیل نګردیده است</t>
  </si>
  <si>
    <t xml:space="preserve">به اثر شیوع ویروس کرونا و پروسه طولانی تدارکاتی فعالیت طبق پلان تطبیق نگردیده است </t>
  </si>
  <si>
    <t>در پلان سال بعدی شامل بوده وتطبیق میگردد</t>
  </si>
  <si>
    <t xml:space="preserve">طولانی بودن پروسه تدارکات </t>
  </si>
  <si>
    <t xml:space="preserve">در سال بعدی شامل پلان میباشد </t>
  </si>
  <si>
    <t>بنابر شیوع ویروس کرونا تطبیق نگردید</t>
  </si>
  <si>
    <t xml:space="preserve">در سال بعدی در نظر است </t>
  </si>
  <si>
    <t>نسبت شیوع ویروس کرونا و  مشکلات امنیتی  مکان مناسب انتخاب نگردیده و تطبیق نگردید</t>
  </si>
  <si>
    <t>فوقف</t>
  </si>
  <si>
    <t>توقف است</t>
  </si>
  <si>
    <t>وزارت زراعت ، آبیاری و مالداری 
ریاست عمومی پلان و هماهنگی برنامه ها 
ولایت لوگر
گزارش از پیشرفت فعالیت های پلان شده ماه قوس سال 1399</t>
  </si>
  <si>
    <t>وزارت زراعت ، آبیاری و مالداری 
ریاست عمومی پلان و هماهنگی برنامه ها 
ولایت لغمان
گزارش از پیشرفت فعالیت های پلان شده ماه قوس سال 1399</t>
  </si>
  <si>
    <t>وزارت زراعت ، آبیاری و مالداری 
ریاست عمومی پلان و هماهنگی برنامه ها 
ولایت کندهار
گزارش از پیشرفت فعالیت های پلان شده ماه قوس  سال 1399</t>
  </si>
  <si>
    <t>وزارت زراعت ، آبیاری و مالداری 
ریاست عمومی پلان و هماهنگی برنامه ها 
ولایت کاپیسا
گزارش از پیشرفت فعالیت های پلان شده ماه قوس سال 1399</t>
  </si>
  <si>
    <t>بنار بر مشکلات تدارکاتی مسترد گردید</t>
  </si>
  <si>
    <t>راپور فعالیت متذکره تکمیل ګردیده است و موافقه ADB نیز گرفته شده است  واکنون  منتظر ایجاد کمیته SEC میباشد
این فعالیت بعد از این مرخله تطبیق خواهد گردید  .</t>
  </si>
  <si>
    <t>به نسبت شیوع ویروس کرونا تطبیق نگردید</t>
  </si>
  <si>
    <t>در پلان سال بعدی شامل میباشد</t>
  </si>
  <si>
    <t xml:space="preserve">به نسبت شیوع ویروس کرونا تطبیق نگردیده است </t>
  </si>
  <si>
    <t>نبود زمین مناسب دولتی (وزارت زراعت)</t>
  </si>
  <si>
    <t xml:space="preserve">نسبت مشکلات تدارکاتی تطبیق نگردیده است  </t>
  </si>
  <si>
    <t>وزارت زراعت ، آبیاری و مالداری 
ریاست عمومی پلان و هماهنگی برنامه ها 
ولایت غزنی
گزارش از پیشرفت فعالیت های پلان شده ماه قوس سال 1399</t>
  </si>
  <si>
    <t>وزارت زراعت ، آبیاری و مالداری 
ریاست عمومی پلان و هماهنگی برنامه ها 
ولایت غور
گزارش از پیشرفت فعالیت های پلان شده ماه قوس سال 1399</t>
  </si>
  <si>
    <t xml:space="preserve">پروپوزل فعالیت متذکره از طرف سکتور خصوصی  در حالت ترتیب   میباشد </t>
  </si>
  <si>
    <t>وزارت زراعت ، آبیاری و مالداری 
ریاست عمومی پلان و هماهنگی برنامه ها 
ولایت سرپل
گزارش از پیشرفت فعالیت های پلان شده ماه قوس سال 1399</t>
  </si>
  <si>
    <t>وزارت زراعت ، آبیاری و مالداری 
ریاست عمومی پلان و هماهنگی برنامه ها 
ولایت زابل
گزارش از پیشرفت فعالیت های پلان شده ماه قوس سال 1399</t>
  </si>
  <si>
    <t>در سال 1400 تطبیق میشود</t>
  </si>
  <si>
    <t>وزارت زراعت ، آبیاری و مالداری 
ریاست عمومی پلان و هماهنگی برنامه ها 
ولایت پکتیا
گزارش از پیشرفت فعالیت های پلان شده ماه قوس سال 1399</t>
  </si>
  <si>
    <t>وزارت زراعت ، آبیاری و مالداری 
ریاست عمومی پلان و هماهنگی برنامه ها 
ولایت بامیان
گزارش از پیشرفت فعالیت های پلان شده ماه قوس  سال 1399</t>
  </si>
  <si>
    <t>وزارت زراعت ، آبیاری و مالداری 
ریاست عمومی پلان و هماهنگی برنامه ها 
ولایت بادغیس
گزارش از پیشرفت فعالیت های پلان شده ماه  قوس  سال 1399</t>
  </si>
  <si>
    <t xml:space="preserve">وزارت زراعت ، آبیاری و مالداری 
ریاست عمومی پلان و هماهنگی برنامه ها 
ولایت پروان
گزارش از پیشرفت فعالیت های پلان شده ماه قوس سال 1399 ولایت پروان </t>
  </si>
  <si>
    <t xml:space="preserve">شیوع ویروس کرو.نا در اوایل سال باعث گردید تا فعالیت ها در سال مالی اجرا نگردد  </t>
  </si>
  <si>
    <t xml:space="preserve">در پلان سال بعدی شامل میباشد و تطبیق خواهد گردید </t>
  </si>
  <si>
    <t xml:space="preserve">به اساس کمبود بودجه در سال روان تطبیق نگردیده است </t>
  </si>
  <si>
    <t>به اساس کمبود بودجه در سال بعدی در نظر است تطبیق گردد</t>
  </si>
  <si>
    <t>وزارت زراعت ، آبیاری و مالداری 
ریاست عمومی پلان و هماهنگی برنامه ها 
ولایت بغلان
گزارش از پیشرفت فعالیت های پلان شده ماه بغلان سال 1399</t>
  </si>
  <si>
    <t xml:space="preserve">در حالت انتخاب شدن مستفدین میباشد </t>
  </si>
  <si>
    <t xml:space="preserve">در پلان سال بعدی شامل میباشد </t>
  </si>
  <si>
    <t>وزارت زراعت ، آبیاری و مالداری 
ریاست عمومی پلان و هماهنگی برنامه ها 
ولایت پکتیکا
گزارش از پیشرفت فعالیت های پلان شده ماه قوس سال 1399</t>
  </si>
  <si>
    <t>در پلان سال مالی 1400 شامل بوده وتطبیق میگردد</t>
  </si>
  <si>
    <t xml:space="preserve"> گزارش سرمایه گذاری فعالیت متذکره‌ اماده گردیده است  به ADB  شریک گردیده است وجهت منظوری به کمیته تعین شده توسط وزیر صاحب  شریک خواهد گردید. </t>
  </si>
  <si>
    <t>وزارت زراعت ، آبیاری و مالداری 
ریاست عمومی پلان و هماهنگی برنامه ها 
ولایت دایکندی
گزارش از پیشرفت فعالیت های پلان شده ماه قوس سال 1399</t>
  </si>
  <si>
    <t>وزارت زراعت ، آبیاری و مالداری 
ریاست عمومی پلان و هماهنگی برنامه ها 
ولایت فراه
گزارش از پیشرفت فعالیت های پلان شده ماه قوس سال 1399</t>
  </si>
  <si>
    <t xml:space="preserve">ریاست زراعت ولایت </t>
  </si>
  <si>
    <t>40000$</t>
  </si>
  <si>
    <t xml:space="preserve">توزیع 500 بسته مواد کیمیاوی (عضوی) </t>
  </si>
  <si>
    <t>خوگیانی رودات,اچین  چپر هار,کوټ و شیرزاد</t>
  </si>
  <si>
    <t>22000$</t>
  </si>
  <si>
    <t xml:space="preserve">توزیع 110بسته  های وسایل پروسس سبزیجات </t>
  </si>
  <si>
    <t>20000$</t>
  </si>
  <si>
    <t>خریداری تخم های اصلاح شده</t>
  </si>
  <si>
    <t>احداث 163 جریب باغ های متراکم</t>
  </si>
  <si>
    <t xml:space="preserve">ایجاد 92 باب سیستم چیله برا ی سبزیجات </t>
  </si>
  <si>
    <t>506400$</t>
  </si>
  <si>
    <t>احداث 2490 جریب باغ های جدید</t>
  </si>
  <si>
    <t>385000$</t>
  </si>
  <si>
    <t xml:space="preserve">توزیع 1300بسته های باغداری </t>
  </si>
  <si>
    <t>در سال بعد تطبیق میگردد</t>
  </si>
  <si>
    <t>بنار بر کمبود بودجه و تصمیم دونر در سال روان تطبیق نمی گردد</t>
  </si>
  <si>
    <t>18000$</t>
  </si>
  <si>
    <t xml:space="preserve"> ساخت 9 باب کمپلکس سرد خانه های عصری</t>
  </si>
  <si>
    <t>1500000$</t>
  </si>
  <si>
    <t xml:space="preserve">  احداث 10پروژه آبیاری </t>
  </si>
  <si>
    <t>4002,700$</t>
  </si>
  <si>
    <t>ایجاد 710 باب  سبز خانه های عصری کوچک وبزرگ</t>
  </si>
  <si>
    <t>GEF/UNDP</t>
  </si>
  <si>
    <t>اعمار دیوار استنادی بولدر به طول 350 متر</t>
  </si>
  <si>
    <t>پروژه کاهشدهی خطرات ناشی از تغیر اقلیم CDRRP</t>
  </si>
  <si>
    <t xml:space="preserve">بهسود ، پل سراچه </t>
  </si>
  <si>
    <t xml:space="preserve">دیزاین تکمیل گردیده است و فعلا در پروسه تدارکات میباشد </t>
  </si>
  <si>
    <t xml:space="preserve">در پروسه تدارکات میباشد </t>
  </si>
  <si>
    <t xml:space="preserve">باسازی کانال 400متر  با 8 ساختمان تقسیم کننده آب  </t>
  </si>
  <si>
    <t xml:space="preserve">کامه ، مسلم آباد </t>
  </si>
  <si>
    <t xml:space="preserve">اعمار سربند و کانال به طول 80 متر </t>
  </si>
  <si>
    <t xml:space="preserve">ولسوالی کامه ، مسلم آباد </t>
  </si>
  <si>
    <t>از اینکه پروژه موثریت اقتصادی نداشت بناً تطبیق نمی گردد</t>
  </si>
  <si>
    <t xml:space="preserve"> اعمار 200 متر دیوار استنادی</t>
  </si>
  <si>
    <t xml:space="preserve">بهسود، پل سراچه </t>
  </si>
  <si>
    <t xml:space="preserve">باسازی 475 متر  کانال با 10 ساختمان تقسیم کننده آب </t>
  </si>
  <si>
    <t xml:space="preserve">کامه و خالصه </t>
  </si>
  <si>
    <t>احداث10 باب  قوریه درختان ستروس</t>
  </si>
  <si>
    <t xml:space="preserve">کامه و بهسود </t>
  </si>
  <si>
    <t>ایجاد 100 باب  سیستم چیله برای سبزیجات</t>
  </si>
  <si>
    <t>کامه و کوزکنر</t>
  </si>
  <si>
    <t>ایجاد2 باب  مرکز پروسس غذایی</t>
  </si>
  <si>
    <t>کامه، بهسود و کوزکنر</t>
  </si>
  <si>
    <t xml:space="preserve">توزیع  لوازام و وسایل جمع اوری و پروسس لبنیات برای 110 مستفید شونده </t>
  </si>
  <si>
    <t>ایجاد 32 باب سبز خانه های عصری کوچک وبزرگ</t>
  </si>
  <si>
    <t>بازسازی کانال به طول 324 متر</t>
  </si>
  <si>
    <t>بهسود، قریه ثمر خیل</t>
  </si>
  <si>
    <t>در صورت موجودیت بودجه در سال بعدی تطبیق میگردد</t>
  </si>
  <si>
    <t>بودجه پیشنهادی مورد نیاز از طرف وزارت مالیه پرداخت نه گردیده</t>
  </si>
  <si>
    <t xml:space="preserve">توقف </t>
  </si>
  <si>
    <t>اعمار یک باب کمپلکس سردخانه عصری 5000 متریک تنه در ولایت ننگرهار</t>
  </si>
  <si>
    <t xml:space="preserve">احداث 10 باب قوریه جات ستروس به شکل معیاری و استندرد </t>
  </si>
  <si>
    <t xml:space="preserve">در سال یعدی در نظر است </t>
  </si>
  <si>
    <t xml:space="preserve">توزیع 125 قرضه های زراعتی و مالداری برای دهاقین و مالداران </t>
  </si>
  <si>
    <t>بنابر تصمیم دونر و شیوع ویروس کرونا تطبیق نگریده</t>
  </si>
  <si>
    <t xml:space="preserve">تهیه نمودن لوازم پروسس برای 137 دهاقین </t>
  </si>
  <si>
    <t xml:space="preserve">کمک نمودن تخنیکی کمپنی های پروسس 8 دفعه </t>
  </si>
  <si>
    <t xml:space="preserve">بنابر مشکلات تخنیکی و تصمیم دونر متوفف گردیده است </t>
  </si>
  <si>
    <t xml:space="preserve">برنامه اموزشی زراعت للمی و ابی برای 100 دهقان </t>
  </si>
  <si>
    <t>به نسبت شیوع ویروس کرونا توقف گردید</t>
  </si>
  <si>
    <t xml:space="preserve">خیوه، خوگیانی، کامه، رودات، سرخ رود، بهسود، دره نور، گوشته، مهمند دره، لعل پوره </t>
  </si>
  <si>
    <t>بازاریابی برای محصولات حیوانی کوچی ها برای 166 نفر</t>
  </si>
  <si>
    <t xml:space="preserve">حمایت تخنیکی در مورد بدست آوردن محصولات حیوانی با کیفیت برای 60 نفر
</t>
  </si>
  <si>
    <t xml:space="preserve"> ارتقاء سطح آگاهی کوچیان مالدار از طریق عرضه خدمات توسعوی و ترویجی در موارد مختلف مالداری به ویژه خوراکه حیوانی برای 1203 نفر</t>
  </si>
  <si>
    <t xml:space="preserve"> بهبود سیستم و دسترسی کوچی ها به عرضه خدمات صحت حیوانی با کیفیت برای 29 نفر</t>
  </si>
  <si>
    <t xml:space="preserve">کامه، چپرهار، دره نور، خیوه، رودات، بهسود، گوشته، بتی کوت، کوت، لعل پوره، سرخ رود، مهمند دره </t>
  </si>
  <si>
    <t xml:space="preserve">حمایه تخنیکی فارم های تحقیقاتی </t>
  </si>
  <si>
    <t xml:space="preserve">بازسازی سر بند تورخیل </t>
  </si>
  <si>
    <t xml:space="preserve">انبار حانه </t>
  </si>
  <si>
    <t>بازسازی شبکه للمه</t>
  </si>
  <si>
    <t>گندیانو</t>
  </si>
  <si>
    <t>بازسازی سربند انزیر داگه</t>
  </si>
  <si>
    <t xml:space="preserve">غنی خیل </t>
  </si>
  <si>
    <t>بازسازی کانال کگه پاچایانو</t>
  </si>
  <si>
    <t xml:space="preserve">کگه </t>
  </si>
  <si>
    <t xml:space="preserve">بازسازی سربند چهارده لر کلی </t>
  </si>
  <si>
    <t xml:space="preserve">چهارده لر کلی </t>
  </si>
  <si>
    <t>بازسازی کانال سواتی</t>
  </si>
  <si>
    <t xml:space="preserve">سواتی </t>
  </si>
  <si>
    <t>تاکنون پرپوزل دریافت نگردیده است</t>
  </si>
  <si>
    <t>بانک آسیایی</t>
  </si>
  <si>
    <t>ایجاد لابراتوار کشت انساج</t>
  </si>
  <si>
    <t xml:space="preserve"> ایجاد لابراتوار تعین کیفیت</t>
  </si>
  <si>
    <t>ایجاداتاق پروسس</t>
  </si>
  <si>
    <t>ولسوالی: کامه٫ کوزکنر٫ بهسود٫ بتی کوت</t>
  </si>
  <si>
    <t xml:space="preserve">احداث باغات تجارتی خرما 75 جریب </t>
  </si>
  <si>
    <t>در سال بعدی فعالیت متذکره از نظر  گرفته خواهد شد</t>
  </si>
  <si>
    <t xml:space="preserve">تکمیل نمودن 53 
فیصد کار باقی مانده شبکه قرنطین نباتی </t>
  </si>
  <si>
    <t>ایجاد 8 صنف مکتب مزرعه دهاقین</t>
  </si>
  <si>
    <t xml:space="preserve">مجادله علیه مور لشکری ، کرم تاج انار ،کرم سا قۀ شالی ، ساه قاق گندم ،یوریا اسپری، گیا هرزه ، موش </t>
  </si>
  <si>
    <t xml:space="preserve">11 ولسوالی </t>
  </si>
  <si>
    <t xml:space="preserve">باغچه های خانگی و مصئونیت غذایی </t>
  </si>
  <si>
    <t xml:space="preserve">ولسوالی شیوه وبهسود   </t>
  </si>
  <si>
    <t>توزیع وسایل پروسس مواد غذایی به 100 زن</t>
  </si>
  <si>
    <t>پروژه های ساختمانی تکمیل وتنها توزیع 180 پایه وسایل سولری خشکن به نسبت مشکلات تدارکاتی باقی که در سال 1400 توزیع میگردد</t>
  </si>
  <si>
    <t>ایجاد (   366  ) ذخیره گاه پیاز، ایجاد  ( 12   ) ذخیره گاه  کچالو، وتوزیع (  180   ) وسایل سولری خشک کنند میوه وسبزیجات</t>
  </si>
  <si>
    <t>1- روغنیات جهت آماده ساختن زمین توسط ماشین آلات زراعتی برای تجارب .
2-حفظ مراقبت وسایط ماشین الات زراعتی وزیربنا های فارم 
3-تهیه وخریداری کود کیمیاوی (دی ای پی و یوریا پوتاشیم ).
4- تهیه وخریداری انبارحیوانی  
5- تهیه وخریدای ادویجات کیمیاوی( آفت کش ،حشره کش، گیاه کش، قارچ کشها)
6- وسایل ترمیم ومواد کمیاوی برای لابراتوارمیوه جات 
7- تهیه وخریدار وسایل رفع حاصل میوه جات( کارتن، قطی، سبد، پاکت پلاستکی وغیره)        8- تهیه وخریداری وسایل کار ( قیچی، اره، بیل، شاخی، تبر،کراچی دستی،)
9- مصارف انترنت برای یک  عدد مودیم جهت استفاده مامورین در امورات رسمی دفتر
10-   استخدام کارگرروزمزد به اساس ۲۶روزکاری برای مدت یک ماه به تعداد 145نفر بنابرضرورت به تعداد مختلف درروزکارخواهند کرد .</t>
  </si>
  <si>
    <t>فارم تحقیقاتی ششم باغ - مرکز جلال آباد</t>
  </si>
  <si>
    <t xml:space="preserve">• تعین ساحه وآماده کردن زمین جهت ایجاد فارم تحقیقات وکلکسیون ملی خرما در ننگرهار   
• تهیه وخریداری نهال برای ایجاد کلیکسیون خرما
</t>
  </si>
  <si>
    <t xml:space="preserve">توزیع بسته  های حمایوی برای 1950 تن مستفدین مالداری از طبقه ذکور و اناث </t>
  </si>
  <si>
    <t>قرارداد با 17 باب کلینیک های ساحوی وترنری (VFUs)  برای برنامه تعهدات صحی ( دایر کردن کورسها، تهیه بسته های آموزشی DRSF, LSF و جمع آوری بسته سمپل ها و پرداخت هزینه ترانسپورت برای انتقال سمپل ها به اداره ولایتی)، وهمچنین پرداخت مصارف تیلفونی کارمندان دولتی (PVOs )</t>
  </si>
  <si>
    <t xml:space="preserve">توزیع لوازم واکسین، مواد آگاهی دهی و تطبیق کمپاین و تست موثریت واکسین بعد از تطبیق ونظارت از کورسهای آموزشی برای VFUs/PVOs در 25 ولسوالی  </t>
  </si>
  <si>
    <t>خریداری  230000  دوز واکسین بروسلوز برای حیوانات کوچک ( گوسفند و بزها )</t>
  </si>
  <si>
    <t>خریداری  45000 دوز واکسین بروسلوز برای حیوانات بزرگ</t>
  </si>
  <si>
    <t>توزیع چسپ های فیرامونی برای کنترول حشرات در 150  قطعات نمایشی باغها</t>
  </si>
  <si>
    <t xml:space="preserve">توزیع هنگ و زیره برای کشت، بحیث نبات دومی در5  هکتار باغهای نو احداث شده پسته </t>
  </si>
  <si>
    <t xml:space="preserve"> دایر کردن  1305 جلسات آموزشی (مکتب دهقان در مزرعه) طبق فصل موسمی </t>
  </si>
  <si>
    <t>اعمار 8 باب چک دم های  کنترولی کوچک</t>
  </si>
  <si>
    <t>نیاز به بودجه ندارد</t>
  </si>
  <si>
    <t>احداث 240 هکتار باغهای جدید درختان مثمر</t>
  </si>
  <si>
    <t>قرار است در سال بعدی فعالیت در نظر گرفته خواهد شد</t>
  </si>
  <si>
    <t>توزیع  400 متریک تن  تخم گندم اصلاح شدۀ بذری</t>
  </si>
  <si>
    <t>آموزش دهاقین که برای شان قطعه ایجاد گردیده ودهاقین همجوار زعفران کار مرد درزمینه تولید وایجاد مکتب دهقانی</t>
  </si>
  <si>
    <t>ارتقای ظرفیت کارمندان ریاست کانال ننگرهار و ادارات ذیدخل</t>
  </si>
  <si>
    <t>پروژه زیرساخت های آبیاری کانال ننگرهار (NVDA)</t>
  </si>
  <si>
    <t xml:space="preserve">قرارداد NCB047 کار ساخنمانی ( نصب پلانت سولری ) برای 2 پمپ </t>
  </si>
  <si>
    <t xml:space="preserve">ولسوالی : مرکز
قریه : فارم هده </t>
  </si>
  <si>
    <t>قرارداد بین المللی ICB خریداری ماشین آلات برای ریاست کانال</t>
  </si>
  <si>
    <t>ولسوالی : سرخرود٫ بهسود٫ مهمندره٫ بتی کوت و شینواری</t>
  </si>
  <si>
    <t>ولسوالی بهسود</t>
  </si>
  <si>
    <t>اعمار سر بند و کانال شمشالی</t>
  </si>
  <si>
    <t>اچین / شمشالی</t>
  </si>
  <si>
    <t>اعمار سر بند و کانال کچکول لمسو</t>
  </si>
  <si>
    <t>نازیان / سروبی</t>
  </si>
  <si>
    <t>اعمار سر بند و کانال سپین پل</t>
  </si>
  <si>
    <t>اچین / اسپین پل</t>
  </si>
  <si>
    <t>اعمار سر بند و کانال خم میران</t>
  </si>
  <si>
    <t>ده بالا / خم میران</t>
  </si>
  <si>
    <t>اعمار سر بند و کانال لالی چینه</t>
  </si>
  <si>
    <t>اچین / لالی چینه</t>
  </si>
  <si>
    <t>اعمار سر بند و کانال خوساچینگی</t>
  </si>
  <si>
    <t>دوربابا / خوسا چینگی</t>
  </si>
  <si>
    <t>اعمار دیوار محافظوی کانال اشخیل</t>
  </si>
  <si>
    <t>اچین / اشخیل</t>
  </si>
  <si>
    <t>اعمار دیوار محافظوی کاریز مشنگی</t>
  </si>
  <si>
    <t>غنی خیل / غونډی کلی</t>
  </si>
  <si>
    <t>اعمار سر بند کانال ها و دیوار محافظوی پیرو خیل</t>
  </si>
  <si>
    <t>اچین / براشخیل</t>
  </si>
  <si>
    <t>اعمار سر بند و کانال پاخیل</t>
  </si>
  <si>
    <t>اچین / پاخیل</t>
  </si>
  <si>
    <t>وزارت زراعت ، آبیاری و مالداری 
ریاست عمومی پلان و هماهنگی برنامه ها 
ولایت ننگرهار
گزارش از پیشرفت فعالیت های پلان شده ماه قوس سال 1399</t>
  </si>
  <si>
    <t xml:space="preserve">در پلان سال بعدی در نظر گرفته شده است  </t>
  </si>
  <si>
    <t xml:space="preserve">در پلان سال بعدی درنظر گرفته شده است </t>
  </si>
  <si>
    <t>طولانی شدن پروسه تدارکاتی روند تطبیق فعالیت را به کندی مواجه ساخت و از سوی دیگر فصل زمستان رسید چوچه مرغ ها در هوای سرد از نقطه نظر صحی خیلی احساس در مقابل سردی میباشد.بنا تصمیم گرفته شد تا سال بعدی تطبیق گردد</t>
  </si>
  <si>
    <t>شامل پلان سال بعدی میباشد</t>
  </si>
  <si>
    <t xml:space="preserve">شیوع ویروس کرونا در اول سال و طولانی شدن پروسه تدارکات سبب شد تا فعالیت در زمان آن تطبیق نگردد </t>
  </si>
  <si>
    <t xml:space="preserve">در سال بعدی در نظر گرفته است  </t>
  </si>
  <si>
    <t>بدون حزینه توسط مشوره های تیم ترویجی وزارت صورت میگرد</t>
  </si>
  <si>
    <t xml:space="preserve">تحت پروسه تدارکات میاشد </t>
  </si>
  <si>
    <t xml:space="preserve">بنابر شیوع ویروس کرونا و پروسه طویل مدت تدارکات تطبیق نگردیده و مسترد گردید </t>
  </si>
  <si>
    <t xml:space="preserve">بنابر شیوع ویروس کرونا نمایشگاه زراعتی دایر نگردیده و بقیه فعالیت های توسعوی در فارم بادام باغ تطبیق گردیده است </t>
  </si>
  <si>
    <t xml:space="preserve">در جریان میباشد </t>
  </si>
</sst>
</file>

<file path=xl/styles.xml><?xml version="1.0" encoding="utf-8"?>
<styleSheet xmlns="http://schemas.openxmlformats.org/spreadsheetml/2006/main">
  <numFmts count="5">
    <numFmt numFmtId="43" formatCode="_(* #,##0.00_);_(* \(#,##0.00\);_(* &quot;-&quot;??_);_(@_)"/>
    <numFmt numFmtId="164" formatCode="[$-3000401]0"/>
    <numFmt numFmtId="165" formatCode="#,##0.0\ _€"/>
    <numFmt numFmtId="166" formatCode="_(* #,##0_);_(* \(#,##0\);_(* &quot;-&quot;??_);_(@_)"/>
    <numFmt numFmtId="167" formatCode="#,##0.000"/>
  </numFmts>
  <fonts count="35">
    <font>
      <sz val="11"/>
      <color theme="1"/>
      <name val="Calibri"/>
      <family val="2"/>
      <scheme val="minor"/>
    </font>
    <font>
      <sz val="10"/>
      <name val="Arial"/>
      <family val="2"/>
    </font>
    <font>
      <sz val="11"/>
      <color theme="1"/>
      <name val="Bahij Mitra"/>
      <family val="1"/>
    </font>
    <font>
      <sz val="11"/>
      <color theme="1"/>
      <name val="Calibri"/>
      <family val="2"/>
      <scheme val="minor"/>
    </font>
    <font>
      <b/>
      <sz val="11"/>
      <color theme="1"/>
      <name val="Calibri"/>
      <family val="2"/>
      <scheme val="minor"/>
    </font>
    <font>
      <b/>
      <sz val="11"/>
      <name val="B Nazanin"/>
      <charset val="178"/>
    </font>
    <font>
      <sz val="11"/>
      <color theme="1"/>
      <name val="B Nazanin"/>
      <charset val="178"/>
    </font>
    <font>
      <sz val="11"/>
      <name val="B Nazanin"/>
      <charset val="178"/>
    </font>
    <font>
      <b/>
      <sz val="12"/>
      <name val="B Nazanin"/>
      <charset val="178"/>
    </font>
    <font>
      <b/>
      <sz val="12"/>
      <color theme="1"/>
      <name val="Calibri"/>
      <family val="2"/>
      <scheme val="minor"/>
    </font>
    <font>
      <sz val="11"/>
      <color theme="1"/>
      <name val="Arial"/>
      <family val="2"/>
    </font>
    <font>
      <sz val="10"/>
      <color theme="1"/>
      <name val="Calibri"/>
      <family val="2"/>
      <scheme val="minor"/>
    </font>
    <font>
      <sz val="10"/>
      <color theme="1"/>
      <name val="B Nazanin"/>
      <charset val="178"/>
    </font>
    <font>
      <b/>
      <sz val="14"/>
      <color theme="1"/>
      <name val="Calibri"/>
      <family val="2"/>
      <scheme val="minor"/>
    </font>
    <font>
      <sz val="10"/>
      <name val="B Nazanin"/>
      <charset val="178"/>
    </font>
    <font>
      <sz val="8"/>
      <name val="B Nazanin"/>
      <charset val="178"/>
    </font>
    <font>
      <sz val="14"/>
      <color theme="1"/>
      <name val="Calibri"/>
      <family val="2"/>
      <scheme val="minor"/>
    </font>
    <font>
      <sz val="11"/>
      <name val="Calibri"/>
      <family val="2"/>
      <scheme val="minor"/>
    </font>
    <font>
      <sz val="14"/>
      <name val="Calibri"/>
      <family val="2"/>
      <scheme val="minor"/>
    </font>
    <font>
      <sz val="11"/>
      <name val="Arial"/>
      <family val="2"/>
    </font>
    <font>
      <sz val="9"/>
      <name val="B Nazanin"/>
      <charset val="178"/>
    </font>
    <font>
      <b/>
      <sz val="12"/>
      <name val="Calibri"/>
      <family val="2"/>
      <scheme val="minor"/>
    </font>
    <font>
      <b/>
      <sz val="14"/>
      <name val="B Nazanin"/>
      <charset val="178"/>
    </font>
    <font>
      <sz val="12"/>
      <color theme="1"/>
      <name val="B Nazanin"/>
      <charset val="178"/>
    </font>
    <font>
      <sz val="12"/>
      <color theme="1"/>
      <name val="Calibri"/>
      <family val="2"/>
      <scheme val="minor"/>
    </font>
    <font>
      <b/>
      <sz val="11"/>
      <color theme="1"/>
      <name val="B Nazanin"/>
      <charset val="178"/>
    </font>
    <font>
      <sz val="11"/>
      <color rgb="FF006100"/>
      <name val="Calibri"/>
      <family val="2"/>
      <scheme val="minor"/>
    </font>
    <font>
      <sz val="12"/>
      <name val="B Nazanin"/>
      <charset val="178"/>
    </font>
    <font>
      <sz val="12"/>
      <color theme="1"/>
      <name val="Arial"/>
      <family val="2"/>
    </font>
    <font>
      <sz val="11"/>
      <color theme="1"/>
      <name val="B Zar"/>
    </font>
    <font>
      <sz val="16"/>
      <color theme="1"/>
      <name val="B Nazanin"/>
      <charset val="178"/>
    </font>
    <font>
      <b/>
      <sz val="9"/>
      <name val="B Nazanin"/>
      <charset val="178"/>
    </font>
    <font>
      <b/>
      <sz val="10"/>
      <name val="B Nazanin"/>
      <charset val="178"/>
    </font>
    <font>
      <b/>
      <sz val="8"/>
      <name val="B Nazanin"/>
      <charset val="178"/>
    </font>
    <font>
      <sz val="16"/>
      <color theme="1"/>
      <name val="Bahij Mitra"/>
      <family val="1"/>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C6EFCE"/>
      </patternFill>
    </fill>
    <fill>
      <patternFill patternType="solid">
        <fgColor theme="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0" fontId="26" fillId="4" borderId="0" applyNumberFormat="0" applyBorder="0" applyAlignment="0" applyProtection="0"/>
  </cellStyleXfs>
  <cellXfs count="897">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0" fillId="0" borderId="0" xfId="0"/>
    <xf numFmtId="0" fontId="0" fillId="2" borderId="0" xfId="0" applyFill="1"/>
    <xf numFmtId="0" fontId="7" fillId="2" borderId="1" xfId="0" applyFont="1" applyFill="1" applyBorder="1" applyAlignment="1">
      <alignment horizontal="right" vertical="center" wrapText="1"/>
    </xf>
    <xf numFmtId="0" fontId="2" fillId="0" borderId="0" xfId="0" applyFont="1" applyAlignment="1"/>
    <xf numFmtId="0" fontId="2" fillId="0" borderId="0" xfId="0" applyFont="1" applyAlignment="1">
      <alignment horizontal="right" vertical="center"/>
    </xf>
    <xf numFmtId="0" fontId="0" fillId="0" borderId="0" xfId="0" applyAlignment="1">
      <alignment horizontal="right"/>
    </xf>
    <xf numFmtId="0" fontId="2" fillId="0" borderId="0" xfId="0" applyFont="1" applyAlignment="1">
      <alignment horizontal="right"/>
    </xf>
    <xf numFmtId="0" fontId="0" fillId="0" borderId="0" xfId="0" applyAlignment="1"/>
    <xf numFmtId="0" fontId="0" fillId="0" borderId="0" xfId="0" applyAlignment="1">
      <alignment readingOrder="2"/>
    </xf>
    <xf numFmtId="0" fontId="0" fillId="0" borderId="0" xfId="0" applyAlignment="1">
      <alignment horizontal="right" readingOrder="2"/>
    </xf>
    <xf numFmtId="9" fontId="0" fillId="0" borderId="0" xfId="4" applyFont="1" applyAlignment="1">
      <alignment horizontal="center"/>
    </xf>
    <xf numFmtId="0" fontId="0" fillId="0" borderId="0" xfId="0" applyAlignment="1">
      <alignment horizontal="right" vertical="center"/>
    </xf>
    <xf numFmtId="9" fontId="3" fillId="0" borderId="0" xfId="4" applyFont="1" applyAlignment="1">
      <alignment horizontal="center"/>
    </xf>
    <xf numFmtId="0" fontId="0" fillId="0" borderId="0" xfId="0" applyAlignment="1">
      <alignment horizontal="right" vertical="center" readingOrder="2"/>
    </xf>
    <xf numFmtId="0" fontId="2" fillId="0" borderId="0" xfId="0" applyFont="1" applyAlignment="1">
      <alignment horizontal="center" readingOrder="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readingOrder="2"/>
    </xf>
    <xf numFmtId="0" fontId="6" fillId="0" borderId="1" xfId="0" applyFont="1" applyFill="1" applyBorder="1" applyAlignment="1">
      <alignment horizontal="right" vertical="center" wrapText="1"/>
    </xf>
    <xf numFmtId="0" fontId="10" fillId="0" borderId="0" xfId="0" applyFont="1" applyAlignment="1"/>
    <xf numFmtId="9" fontId="6" fillId="0" borderId="1" xfId="4" applyFont="1" applyFill="1" applyBorder="1" applyAlignment="1">
      <alignment horizontal="center" vertical="center" wrapText="1"/>
    </xf>
    <xf numFmtId="0" fontId="6" fillId="0" borderId="1" xfId="0" applyFont="1" applyFill="1" applyBorder="1" applyAlignment="1">
      <alignment horizontal="right" wrapText="1" readingOrder="2"/>
    </xf>
    <xf numFmtId="0" fontId="10" fillId="0" borderId="0" xfId="0" applyFont="1" applyFill="1"/>
    <xf numFmtId="0" fontId="6" fillId="0" borderId="1" xfId="0" applyFont="1" applyFill="1" applyBorder="1" applyAlignment="1">
      <alignment horizontal="right" vertical="center"/>
    </xf>
    <xf numFmtId="0" fontId="0" fillId="0" borderId="0" xfId="0" applyFont="1" applyBorder="1" applyAlignment="1">
      <alignment horizontal="right" vertical="center" wrapText="1" readingOrder="2"/>
    </xf>
    <xf numFmtId="0" fontId="11" fillId="0" borderId="0" xfId="0" applyFont="1"/>
    <xf numFmtId="3" fontId="6" fillId="0" borderId="1" xfId="5" applyNumberFormat="1" applyFont="1" applyFill="1" applyBorder="1" applyAlignment="1">
      <alignment horizontal="center" vertical="center" readingOrder="1"/>
    </xf>
    <xf numFmtId="0" fontId="6" fillId="2" borderId="1" xfId="0" applyFont="1" applyFill="1" applyBorder="1" applyAlignment="1">
      <alignment horizontal="righ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0" xfId="0" applyFont="1"/>
    <xf numFmtId="3" fontId="6" fillId="0" borderId="1" xfId="0" applyNumberFormat="1" applyFont="1" applyFill="1" applyBorder="1" applyAlignment="1">
      <alignment horizontal="left" vertical="center" readingOrder="1"/>
    </xf>
    <xf numFmtId="0" fontId="6" fillId="2" borderId="1" xfId="0" applyFont="1" applyFill="1" applyBorder="1" applyAlignment="1">
      <alignment horizontal="right" vertical="center" wrapText="1" readingOrder="2"/>
    </xf>
    <xf numFmtId="3" fontId="6" fillId="0" borderId="1" xfId="5" applyNumberFormat="1" applyFont="1" applyFill="1" applyBorder="1" applyAlignment="1">
      <alignment horizontal="left" vertical="center" indent="1" readingOrder="1"/>
    </xf>
    <xf numFmtId="0" fontId="6" fillId="0" borderId="1" xfId="0" applyFont="1" applyFill="1" applyBorder="1" applyAlignment="1">
      <alignment horizontal="right" vertical="center" wrapText="1" indent="1" readingOrder="2"/>
    </xf>
    <xf numFmtId="9" fontId="6" fillId="0" borderId="1" xfId="0" applyNumberFormat="1" applyFont="1" applyFill="1" applyBorder="1" applyAlignment="1">
      <alignment horizontal="center" vertical="center" wrapText="1" readingOrder="2"/>
    </xf>
    <xf numFmtId="0" fontId="6" fillId="0" borderId="1" xfId="0" applyFont="1" applyFill="1" applyBorder="1" applyAlignment="1">
      <alignment horizontal="right" vertical="center" wrapText="1" readingOrder="2"/>
    </xf>
    <xf numFmtId="0" fontId="7" fillId="0" borderId="1" xfId="0" applyFont="1" applyFill="1" applyBorder="1" applyAlignment="1">
      <alignment horizontal="right" vertical="center" wrapText="1" readingOrder="2"/>
    </xf>
    <xf numFmtId="0" fontId="6" fillId="0" borderId="1" xfId="0" applyFont="1" applyFill="1" applyBorder="1" applyAlignment="1">
      <alignment horizontal="center" vertical="center" wrapText="1" readingOrder="2"/>
    </xf>
    <xf numFmtId="0" fontId="7" fillId="2"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horizontal="right" indent="1"/>
    </xf>
    <xf numFmtId="0" fontId="7" fillId="0" borderId="1" xfId="0" applyFont="1" applyFill="1" applyBorder="1" applyAlignment="1">
      <alignment horizontal="right" vertical="center" wrapText="1" indent="1"/>
    </xf>
    <xf numFmtId="3" fontId="6" fillId="0" borderId="1" xfId="0" applyNumberFormat="1" applyFont="1" applyFill="1" applyBorder="1" applyAlignment="1">
      <alignment horizontal="left" vertical="center"/>
    </xf>
    <xf numFmtId="9" fontId="6"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xf numFmtId="0" fontId="0" fillId="0" borderId="0" xfId="0" applyFont="1" applyBorder="1" applyAlignment="1">
      <alignment horizontal="center" vertical="center" wrapText="1"/>
    </xf>
    <xf numFmtId="0" fontId="6" fillId="2" borderId="1" xfId="0" applyFont="1" applyFill="1" applyBorder="1" applyAlignment="1">
      <alignment vertical="center" wrapText="1"/>
    </xf>
    <xf numFmtId="0" fontId="12" fillId="0" borderId="1" xfId="0" applyFont="1" applyFill="1" applyBorder="1" applyAlignment="1">
      <alignment horizontal="center" vertical="center" wrapText="1"/>
    </xf>
    <xf numFmtId="9" fontId="12" fillId="0" borderId="1" xfId="4" applyFont="1" applyFill="1" applyBorder="1" applyAlignment="1">
      <alignment horizontal="center" vertical="center" wrapText="1"/>
    </xf>
    <xf numFmtId="0" fontId="12" fillId="0" borderId="1" xfId="0" applyFont="1" applyFill="1" applyBorder="1" applyAlignment="1">
      <alignment horizontal="right" vertical="center" wrapText="1" indent="1" readingOrder="2"/>
    </xf>
    <xf numFmtId="0" fontId="12" fillId="0" borderId="1" xfId="0" applyFont="1" applyFill="1" applyBorder="1" applyAlignment="1">
      <alignment horizontal="right" vertical="center" wrapText="1"/>
    </xf>
    <xf numFmtId="0" fontId="6" fillId="2" borderId="1" xfId="0" applyFont="1" applyFill="1" applyBorder="1" applyAlignment="1">
      <alignment vertical="center" wrapText="1" readingOrder="2"/>
    </xf>
    <xf numFmtId="0" fontId="6" fillId="2" borderId="1" xfId="0" applyFont="1" applyFill="1" applyBorder="1" applyAlignment="1">
      <alignment horizontal="right" vertical="center" wrapText="1" indent="1" readingOrder="2"/>
    </xf>
    <xf numFmtId="0" fontId="10" fillId="0" borderId="0" xfId="0" applyFont="1" applyFill="1" applyAlignment="1"/>
    <xf numFmtId="9" fontId="7" fillId="0" borderId="1" xfId="4" applyFont="1" applyFill="1" applyBorder="1" applyAlignment="1">
      <alignment horizontal="center" vertical="center" wrapText="1"/>
    </xf>
    <xf numFmtId="0" fontId="0" fillId="2" borderId="1" xfId="0" applyFont="1" applyFill="1" applyBorder="1" applyAlignment="1">
      <alignment horizontal="right" vertical="center" wrapText="1" indent="1" readingOrder="2"/>
    </xf>
    <xf numFmtId="0" fontId="6" fillId="0" borderId="1" xfId="0" applyFont="1" applyBorder="1" applyAlignment="1">
      <alignment horizontal="center" vertical="center" wrapText="1"/>
    </xf>
    <xf numFmtId="0" fontId="6" fillId="2" borderId="1" xfId="0" applyFont="1" applyFill="1" applyBorder="1" applyAlignment="1">
      <alignment horizontal="right" vertical="center" wrapText="1" readingOrder="2"/>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9" fontId="7" fillId="0" borderId="1" xfId="0" applyNumberFormat="1" applyFont="1" applyFill="1" applyBorder="1" applyAlignment="1">
      <alignment horizontal="center" vertical="center" wrapText="1" readingOrder="2"/>
    </xf>
    <xf numFmtId="164" fontId="6" fillId="0" borderId="1" xfId="0" applyNumberFormat="1" applyFont="1" applyFill="1" applyBorder="1" applyAlignment="1">
      <alignment vertical="center" wrapText="1"/>
    </xf>
    <xf numFmtId="165" fontId="7" fillId="0" borderId="1" xfId="2" applyNumberFormat="1" applyFont="1" applyFill="1" applyBorder="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readingOrder="2"/>
    </xf>
    <xf numFmtId="0" fontId="5" fillId="3" borderId="1" xfId="0" applyFont="1" applyFill="1" applyBorder="1" applyAlignment="1">
      <alignment horizontal="center" vertical="center" wrapText="1" readingOrder="2"/>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horizontal="center" vertical="center" wrapText="1" readingOrder="1"/>
    </xf>
    <xf numFmtId="0" fontId="6" fillId="0" borderId="3" xfId="0" applyFont="1" applyFill="1" applyBorder="1" applyAlignment="1">
      <alignment vertical="center" wrapText="1"/>
    </xf>
    <xf numFmtId="0" fontId="6" fillId="0" borderId="1" xfId="0" applyFont="1" applyFill="1" applyBorder="1" applyAlignment="1">
      <alignment vertical="center" wrapText="1" readingOrder="2"/>
    </xf>
    <xf numFmtId="0" fontId="6" fillId="0" borderId="1" xfId="0" applyFont="1" applyFill="1" applyBorder="1" applyAlignment="1">
      <alignment horizontal="right" vertical="center" wrapText="1" inden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readingOrder="2"/>
    </xf>
    <xf numFmtId="0" fontId="6" fillId="2" borderId="1" xfId="0" applyFont="1" applyFill="1" applyBorder="1" applyAlignment="1">
      <alignment horizontal="center" vertical="center" wrapText="1" readingOrder="2"/>
    </xf>
    <xf numFmtId="0" fontId="6" fillId="0" borderId="1" xfId="0" applyFont="1" applyFill="1" applyBorder="1" applyAlignment="1">
      <alignment horizontal="right" vertical="center" wrapText="1" inden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readingOrder="2"/>
    </xf>
    <xf numFmtId="0" fontId="7" fillId="0" borderId="1" xfId="0" applyFont="1" applyFill="1" applyBorder="1" applyAlignment="1">
      <alignment horizontal="center" vertical="center" wrapText="1" readingOrder="2"/>
    </xf>
    <xf numFmtId="165" fontId="7" fillId="0" borderId="1" xfId="2" applyNumberFormat="1" applyFont="1" applyFill="1" applyBorder="1" applyAlignment="1">
      <alignment vertical="center" wrapText="1" readingOrder="2"/>
    </xf>
    <xf numFmtId="164" fontId="6" fillId="0" borderId="1" xfId="0" applyNumberFormat="1" applyFont="1" applyFill="1" applyBorder="1" applyAlignment="1">
      <alignment vertical="center" wrapText="1" readingOrder="2"/>
    </xf>
    <xf numFmtId="0" fontId="7" fillId="0" borderId="1" xfId="2" applyFont="1" applyFill="1" applyBorder="1" applyAlignment="1">
      <alignment horizontal="right" vertical="center" wrapText="1" readingOrder="2"/>
    </xf>
    <xf numFmtId="0" fontId="7" fillId="0" borderId="1" xfId="0" applyFont="1" applyFill="1" applyBorder="1" applyAlignment="1">
      <alignment horizontal="right" vertical="center" wrapText="1"/>
    </xf>
    <xf numFmtId="0" fontId="6" fillId="0" borderId="1" xfId="0" applyFont="1" applyFill="1" applyBorder="1" applyAlignment="1">
      <alignment wrapText="1" readingOrder="2"/>
    </xf>
    <xf numFmtId="0" fontId="0" fillId="0" borderId="0" xfId="0" applyFill="1" applyAlignment="1">
      <alignment horizontal="center"/>
    </xf>
    <xf numFmtId="0" fontId="2" fillId="0" borderId="0" xfId="0" applyFont="1" applyFill="1" applyAlignment="1"/>
    <xf numFmtId="0" fontId="2" fillId="0" borderId="0" xfId="0" applyFont="1" applyFill="1"/>
    <xf numFmtId="0" fontId="0" fillId="0" borderId="0" xfId="0" applyFill="1" applyAlignment="1"/>
    <xf numFmtId="0" fontId="0" fillId="0" borderId="0" xfId="0" applyFill="1"/>
    <xf numFmtId="9" fontId="7" fillId="0" borderId="1" xfId="0" applyNumberFormat="1" applyFont="1" applyFill="1" applyBorder="1" applyAlignment="1">
      <alignment horizontal="center" vertical="center" wrapText="1"/>
    </xf>
    <xf numFmtId="165" fontId="7" fillId="0" borderId="1" xfId="2" applyNumberFormat="1" applyFont="1" applyFill="1" applyBorder="1" applyAlignment="1">
      <alignment horizontal="right" vertical="center" wrapText="1"/>
    </xf>
    <xf numFmtId="164" fontId="6" fillId="0" borderId="1" xfId="0" applyNumberFormat="1" applyFont="1" applyFill="1" applyBorder="1" applyAlignment="1">
      <alignment horizontal="right" vertical="center" wrapText="1"/>
    </xf>
    <xf numFmtId="0" fontId="6" fillId="0" borderId="2"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wrapText="1"/>
    </xf>
    <xf numFmtId="0" fontId="14" fillId="0" borderId="1" xfId="0" applyFont="1" applyFill="1" applyBorder="1" applyAlignment="1">
      <alignment vertical="center" wrapText="1"/>
    </xf>
    <xf numFmtId="0" fontId="6" fillId="0" borderId="1" xfId="0" applyFont="1" applyFill="1" applyBorder="1" applyAlignment="1">
      <alignment horizontal="right" vertical="center" wrapText="1" readingOrder="1"/>
    </xf>
    <xf numFmtId="0" fontId="6" fillId="0" borderId="1" xfId="0" applyFont="1" applyFill="1" applyBorder="1" applyAlignment="1">
      <alignment horizontal="center" vertical="center"/>
    </xf>
    <xf numFmtId="9" fontId="6" fillId="0" borderId="1" xfId="4" applyFont="1" applyFill="1" applyBorder="1" applyAlignment="1">
      <alignment horizontal="center" vertical="center" wrapText="1" readingOrder="1"/>
    </xf>
    <xf numFmtId="0" fontId="6" fillId="0" borderId="1" xfId="0" applyFont="1" applyFill="1" applyBorder="1" applyAlignment="1">
      <alignment horizontal="left" vertical="center" wrapText="1" indent="1" readingOrder="1"/>
    </xf>
    <xf numFmtId="0" fontId="6" fillId="0" borderId="1" xfId="0" applyFont="1" applyFill="1" applyBorder="1" applyAlignment="1">
      <alignment vertical="center" wrapText="1" readingOrder="1"/>
    </xf>
    <xf numFmtId="9" fontId="6" fillId="0" borderId="1" xfId="4" applyFont="1" applyFill="1" applyBorder="1" applyAlignment="1">
      <alignment horizontal="center" vertical="center" wrapText="1" readingOrder="2"/>
    </xf>
    <xf numFmtId="0" fontId="6" fillId="0" borderId="1" xfId="0" applyFont="1" applyFill="1" applyBorder="1" applyAlignment="1">
      <alignment horizontal="right" vertical="center" wrapText="1" indent="1" readingOrder="2"/>
    </xf>
    <xf numFmtId="0" fontId="6" fillId="0" borderId="1" xfId="0" applyFont="1" applyFill="1" applyBorder="1" applyAlignment="1">
      <alignment horizontal="center" vertical="center" wrapText="1" readingOrder="1"/>
    </xf>
    <xf numFmtId="165" fontId="7" fillId="0" borderId="1" xfId="2" applyNumberFormat="1" applyFont="1" applyFill="1" applyBorder="1" applyAlignment="1">
      <alignment horizontal="center" vertical="center" wrapText="1" readingOrder="2"/>
    </xf>
    <xf numFmtId="166" fontId="6" fillId="0" borderId="1" xfId="5" applyNumberFormat="1" applyFont="1" applyFill="1" applyBorder="1" applyAlignment="1">
      <alignment horizontal="center" vertical="center" wrapText="1" readingOrder="2"/>
    </xf>
    <xf numFmtId="164" fontId="6" fillId="0" borderId="1" xfId="0" applyNumberFormat="1" applyFont="1" applyFill="1" applyBorder="1" applyAlignment="1">
      <alignment horizontal="center" vertical="center" wrapText="1" readingOrder="2"/>
    </xf>
    <xf numFmtId="164" fontId="7" fillId="0" borderId="1" xfId="0" applyNumberFormat="1" applyFont="1" applyFill="1" applyBorder="1" applyAlignment="1">
      <alignment horizontal="center" vertical="center" wrapText="1" readingOrder="2"/>
    </xf>
    <xf numFmtId="3" fontId="6" fillId="0" borderId="1" xfId="0" applyNumberFormat="1" applyFont="1" applyFill="1" applyBorder="1" applyAlignment="1">
      <alignment horizontal="center" vertical="center" readingOrder="1"/>
    </xf>
    <xf numFmtId="9" fontId="6" fillId="0" borderId="1" xfId="4" applyFont="1" applyFill="1" applyBorder="1" applyAlignment="1">
      <alignment horizontal="center"/>
    </xf>
    <xf numFmtId="166" fontId="6" fillId="0" borderId="1" xfId="5" applyNumberFormat="1" applyFont="1" applyFill="1" applyBorder="1" applyAlignment="1">
      <alignment horizontal="right" vertical="center" wrapText="1" indent="1" readingOrder="2"/>
    </xf>
    <xf numFmtId="165" fontId="7" fillId="0" borderId="1" xfId="2" applyNumberFormat="1" applyFont="1" applyFill="1" applyBorder="1" applyAlignment="1">
      <alignment horizontal="right" vertical="center" wrapText="1" indent="1" readingOrder="2"/>
    </xf>
    <xf numFmtId="0" fontId="7" fillId="0" borderId="1" xfId="2" applyFont="1" applyFill="1" applyBorder="1" applyAlignment="1">
      <alignment vertical="center" wrapText="1" readingOrder="2"/>
    </xf>
    <xf numFmtId="0" fontId="7" fillId="0" borderId="1" xfId="0" applyFont="1" applyFill="1" applyBorder="1" applyAlignment="1">
      <alignment horizontal="right" vertical="center" wrapText="1" readingOrder="2"/>
    </xf>
    <xf numFmtId="3" fontId="7" fillId="0" borderId="1" xfId="5" applyNumberFormat="1" applyFont="1" applyFill="1" applyBorder="1" applyAlignment="1">
      <alignment horizontal="left" vertical="center" indent="1" readingOrder="1"/>
    </xf>
    <xf numFmtId="9" fontId="7" fillId="0" borderId="1" xfId="4" applyFont="1" applyFill="1" applyBorder="1" applyAlignment="1">
      <alignment horizontal="center" vertical="center" wrapText="1" readingOrder="1"/>
    </xf>
    <xf numFmtId="0" fontId="7" fillId="0" borderId="1" xfId="0" applyFont="1" applyFill="1" applyBorder="1" applyAlignment="1">
      <alignment horizontal="right" vertical="center" wrapText="1" indent="1" readingOrder="2"/>
    </xf>
    <xf numFmtId="0" fontId="7" fillId="0" borderId="1" xfId="0" applyFont="1" applyFill="1" applyBorder="1" applyAlignment="1">
      <alignment horizontal="right" vertical="center" wrapText="1" readingOrder="1"/>
    </xf>
    <xf numFmtId="0" fontId="7" fillId="0" borderId="1" xfId="0" applyFont="1" applyFill="1" applyBorder="1" applyAlignment="1">
      <alignment horizontal="right" wrapText="1" readingOrder="2"/>
    </xf>
    <xf numFmtId="3" fontId="7" fillId="0" borderId="1" xfId="5" applyNumberFormat="1" applyFont="1" applyFill="1" applyBorder="1" applyAlignment="1">
      <alignment horizontal="right" vertical="center" wrapText="1" indent="1" readingOrder="2"/>
    </xf>
    <xf numFmtId="164" fontId="7" fillId="0" borderId="1" xfId="0" applyNumberFormat="1" applyFont="1" applyFill="1" applyBorder="1" applyAlignment="1">
      <alignment horizontal="right" vertical="center" wrapText="1" indent="1" readingOrder="2"/>
    </xf>
    <xf numFmtId="3" fontId="7" fillId="0" borderId="1" xfId="0" applyNumberFormat="1" applyFont="1" applyFill="1" applyBorder="1" applyAlignment="1">
      <alignment horizontal="left" vertical="center" readingOrder="1"/>
    </xf>
    <xf numFmtId="9" fontId="7" fillId="0" borderId="1" xfId="4" applyFont="1" applyFill="1" applyBorder="1" applyAlignment="1">
      <alignment horizontal="center" vertical="center"/>
    </xf>
    <xf numFmtId="9" fontId="6" fillId="0" borderId="1" xfId="4"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readingOrder="2"/>
    </xf>
    <xf numFmtId="0" fontId="6" fillId="0" borderId="2" xfId="0" applyFont="1" applyFill="1" applyBorder="1" applyAlignment="1">
      <alignment horizontal="center" vertical="center" wrapText="1"/>
    </xf>
    <xf numFmtId="0" fontId="2" fillId="0" borderId="0" xfId="0" applyFont="1" applyFill="1" applyAlignment="1">
      <alignment horizontal="right"/>
    </xf>
    <xf numFmtId="0" fontId="2" fillId="0" borderId="0" xfId="0" applyFont="1" applyFill="1" applyAlignment="1">
      <alignment horizontal="center"/>
    </xf>
    <xf numFmtId="0" fontId="0" fillId="0" borderId="0" xfId="0" applyFill="1" applyAlignment="1">
      <alignment horizontal="right"/>
    </xf>
    <xf numFmtId="9" fontId="0" fillId="0" borderId="0" xfId="4" applyFont="1" applyFill="1" applyAlignment="1">
      <alignment horizontal="center"/>
    </xf>
    <xf numFmtId="3" fontId="7" fillId="0" borderId="1" xfId="5" applyNumberFormat="1" applyFont="1" applyFill="1" applyBorder="1" applyAlignment="1">
      <alignment horizontal="center" vertical="center" readingOrder="1"/>
    </xf>
    <xf numFmtId="0" fontId="7" fillId="0" borderId="1" xfId="0" applyFont="1" applyFill="1" applyBorder="1" applyAlignment="1">
      <alignment horizontal="center" vertical="center" wrapText="1" readingOrder="1"/>
    </xf>
    <xf numFmtId="0" fontId="0" fillId="0" borderId="0" xfId="0" applyFill="1" applyAlignment="1">
      <alignment horizontal="right" readingOrder="2"/>
    </xf>
    <xf numFmtId="3" fontId="2" fillId="0" borderId="0" xfId="0" applyNumberFormat="1" applyFont="1"/>
    <xf numFmtId="0" fontId="6" fillId="0" borderId="1" xfId="0" applyFont="1" applyFill="1" applyBorder="1" applyAlignment="1">
      <alignment horizontal="right" vertical="center" wrapText="1" indent="1"/>
    </xf>
    <xf numFmtId="0" fontId="0" fillId="0" borderId="0" xfId="0"/>
    <xf numFmtId="0" fontId="8"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wrapText="1" readingOrder="2"/>
    </xf>
    <xf numFmtId="0" fontId="7" fillId="0" borderId="1" xfId="0" applyFont="1" applyFill="1" applyBorder="1" applyAlignment="1">
      <alignment horizontal="right" vertical="center" wrapText="1" readingOrder="2"/>
    </xf>
    <xf numFmtId="0" fontId="8" fillId="3"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8" fillId="3" borderId="1" xfId="0" applyFont="1" applyFill="1" applyBorder="1" applyAlignment="1">
      <alignment horizontal="right" vertical="center" wrapText="1"/>
    </xf>
    <xf numFmtId="165" fontId="7" fillId="0" borderId="1" xfId="2" applyNumberFormat="1" applyFont="1" applyFill="1" applyBorder="1" applyAlignment="1">
      <alignment horizontal="right" vertical="center" wrapText="1" indent="1"/>
    </xf>
    <xf numFmtId="164" fontId="6" fillId="0" borderId="1" xfId="0" applyNumberFormat="1" applyFont="1" applyFill="1" applyBorder="1" applyAlignment="1">
      <alignment horizontal="right" vertical="center" wrapText="1" indent="1"/>
    </xf>
    <xf numFmtId="0" fontId="7" fillId="0" borderId="1" xfId="2" applyFont="1" applyFill="1" applyBorder="1" applyAlignment="1">
      <alignment horizontal="right" vertical="center" wrapText="1"/>
    </xf>
    <xf numFmtId="0" fontId="6" fillId="0" borderId="1" xfId="0" applyFont="1" applyFill="1" applyBorder="1" applyAlignment="1">
      <alignment horizontal="right" vertical="center" wrapText="1" indent="1" readingOrder="1"/>
    </xf>
    <xf numFmtId="0" fontId="7" fillId="0" borderId="1" xfId="0" applyFont="1" applyFill="1" applyBorder="1" applyAlignment="1">
      <alignment horizontal="right" wrapText="1"/>
    </xf>
    <xf numFmtId="0" fontId="6" fillId="0" borderId="1" xfId="0" applyFont="1" applyFill="1" applyBorder="1" applyAlignment="1">
      <alignment horizontal="right"/>
    </xf>
    <xf numFmtId="0" fontId="2" fillId="0" borderId="0" xfId="0" applyFont="1" applyAlignment="1">
      <alignment horizontal="left"/>
    </xf>
    <xf numFmtId="9"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left" vertical="center"/>
    </xf>
    <xf numFmtId="9" fontId="7" fillId="2" borderId="1" xfId="4" applyFont="1" applyFill="1" applyBorder="1" applyAlignment="1">
      <alignment horizontal="center" vertical="center" wrapText="1"/>
    </xf>
    <xf numFmtId="0" fontId="7" fillId="2" borderId="1" xfId="0" applyFont="1" applyFill="1" applyBorder="1" applyAlignment="1">
      <alignment horizontal="right" vertical="center" wrapText="1" readingOrder="2"/>
    </xf>
    <xf numFmtId="0" fontId="16" fillId="0" borderId="0" xfId="0" applyFont="1"/>
    <xf numFmtId="0" fontId="7" fillId="2" borderId="1" xfId="0" applyFont="1" applyFill="1" applyBorder="1" applyAlignment="1">
      <alignment horizontal="right" vertical="center" wrapText="1" indent="1" readingOrder="2"/>
    </xf>
    <xf numFmtId="0" fontId="7" fillId="2" borderId="1" xfId="0" applyFont="1" applyFill="1" applyBorder="1" applyAlignment="1"/>
    <xf numFmtId="0" fontId="7" fillId="2" borderId="1" xfId="0" applyFont="1" applyFill="1" applyBorder="1" applyAlignment="1">
      <alignment vertical="center"/>
    </xf>
    <xf numFmtId="0" fontId="7" fillId="2" borderId="1" xfId="0" applyFont="1" applyFill="1" applyBorder="1" applyAlignment="1">
      <alignment vertical="center" wrapText="1" readingOrder="2"/>
    </xf>
    <xf numFmtId="0" fontId="7" fillId="2" borderId="1" xfId="0" applyFont="1" applyFill="1" applyBorder="1" applyAlignment="1">
      <alignment horizontal="right" vertical="center" wrapText="1" indent="1"/>
    </xf>
    <xf numFmtId="0" fontId="18" fillId="2" borderId="0" xfId="0" applyFont="1" applyFill="1"/>
    <xf numFmtId="0" fontId="14" fillId="2" borderId="1" xfId="0" applyFont="1" applyFill="1" applyBorder="1" applyAlignment="1">
      <alignment vertical="center" wrapText="1"/>
    </xf>
    <xf numFmtId="0" fontId="7" fillId="2" borderId="1" xfId="0" applyFont="1" applyFill="1" applyBorder="1" applyAlignment="1">
      <alignment wrapText="1"/>
    </xf>
    <xf numFmtId="164" fontId="7" fillId="2" borderId="1" xfId="0" applyNumberFormat="1" applyFont="1" applyFill="1" applyBorder="1" applyAlignment="1">
      <alignment vertical="center" wrapText="1"/>
    </xf>
    <xf numFmtId="0" fontId="6" fillId="2" borderId="1" xfId="0" applyFont="1" applyFill="1" applyBorder="1" applyAlignment="1">
      <alignment vertical="center"/>
    </xf>
    <xf numFmtId="9"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left" vertical="center"/>
    </xf>
    <xf numFmtId="9" fontId="7" fillId="2" borderId="1" xfId="0" applyNumberFormat="1" applyFont="1" applyFill="1" applyBorder="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wrapText="1" readingOrder="2"/>
    </xf>
    <xf numFmtId="9" fontId="7" fillId="2" borderId="1" xfId="0" applyNumberFormat="1" applyFont="1" applyFill="1" applyBorder="1" applyAlignment="1">
      <alignment horizontal="center" vertical="center" wrapText="1" readingOrder="2"/>
    </xf>
    <xf numFmtId="3" fontId="6" fillId="2" borderId="1" xfId="5" applyNumberFormat="1" applyFont="1" applyFill="1" applyBorder="1" applyAlignment="1">
      <alignment horizontal="left" vertical="center" indent="1" readingOrder="1"/>
    </xf>
    <xf numFmtId="3" fontId="6" fillId="2" borderId="1" xfId="0" applyNumberFormat="1" applyFont="1" applyFill="1" applyBorder="1" applyAlignment="1">
      <alignment horizontal="left" vertical="center" readingOrder="1"/>
    </xf>
    <xf numFmtId="0" fontId="6" fillId="2" borderId="1" xfId="0" applyFont="1" applyFill="1" applyBorder="1" applyAlignment="1">
      <alignment horizontal="right" vertical="center" readingOrder="2"/>
    </xf>
    <xf numFmtId="0" fontId="7" fillId="2" borderId="1" xfId="0" applyFont="1" applyFill="1" applyBorder="1" applyAlignment="1">
      <alignment horizontal="right" wrapText="1"/>
    </xf>
    <xf numFmtId="0" fontId="0" fillId="0" borderId="1" xfId="0" applyBorder="1" applyAlignment="1">
      <alignment horizontal="right"/>
    </xf>
    <xf numFmtId="0" fontId="6" fillId="2" borderId="3" xfId="0" applyFont="1" applyFill="1" applyBorder="1" applyAlignment="1">
      <alignment horizontal="right" vertical="center" readingOrder="2"/>
    </xf>
    <xf numFmtId="0" fontId="6" fillId="2" borderId="2" xfId="0" applyFont="1" applyFill="1" applyBorder="1" applyAlignment="1">
      <alignment horizontal="right" vertical="center" readingOrder="2"/>
    </xf>
    <xf numFmtId="0" fontId="7" fillId="2" borderId="1" xfId="2" applyFont="1" applyFill="1" applyBorder="1" applyAlignment="1">
      <alignment horizontal="right" vertical="center" wrapText="1" readingOrder="2"/>
    </xf>
    <xf numFmtId="165" fontId="7" fillId="2" borderId="1" xfId="2" applyNumberFormat="1" applyFont="1" applyFill="1" applyBorder="1" applyAlignment="1">
      <alignment horizontal="right" vertical="center" wrapText="1" readingOrder="2"/>
    </xf>
    <xf numFmtId="164" fontId="6" fillId="2" borderId="1" xfId="0" applyNumberFormat="1" applyFont="1" applyFill="1" applyBorder="1" applyAlignment="1">
      <alignment horizontal="right" vertical="center" wrapText="1" readingOrder="2"/>
    </xf>
    <xf numFmtId="0" fontId="7" fillId="2" borderId="1" xfId="0" applyFont="1" applyFill="1" applyBorder="1" applyAlignment="1">
      <alignment horizontal="right" vertical="center" readingOrder="2"/>
    </xf>
    <xf numFmtId="3" fontId="7" fillId="2" borderId="1" xfId="5" applyNumberFormat="1" applyFont="1" applyFill="1" applyBorder="1" applyAlignment="1">
      <alignment horizontal="left" vertical="center" indent="1" readingOrder="1"/>
    </xf>
    <xf numFmtId="0" fontId="6" fillId="0" borderId="1" xfId="0" applyFont="1" applyBorder="1" applyAlignment="1">
      <alignment horizontal="right" vertical="center" wrapText="1"/>
    </xf>
    <xf numFmtId="0" fontId="8" fillId="3" borderId="1" xfId="0" applyFont="1" applyFill="1" applyBorder="1" applyAlignment="1">
      <alignment horizontal="right" vertical="center" wrapText="1" readingOrder="2"/>
    </xf>
    <xf numFmtId="0" fontId="6" fillId="0" borderId="0" xfId="0" applyFont="1"/>
    <xf numFmtId="0" fontId="6" fillId="0" borderId="0" xfId="0" applyFont="1" applyAlignment="1">
      <alignment horizontal="right"/>
    </xf>
    <xf numFmtId="0" fontId="6" fillId="0" borderId="0" xfId="0" applyFont="1" applyAlignment="1">
      <alignment readingOrder="2"/>
    </xf>
    <xf numFmtId="9" fontId="6" fillId="0" borderId="0" xfId="4" applyFont="1" applyAlignment="1">
      <alignment horizontal="center"/>
    </xf>
    <xf numFmtId="0" fontId="6" fillId="0" borderId="0" xfId="0" applyFont="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readingOrder="2"/>
    </xf>
    <xf numFmtId="3" fontId="7"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1"/>
    </xf>
    <xf numFmtId="9" fontId="7" fillId="2" borderId="1" xfId="4"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2"/>
    </xf>
    <xf numFmtId="0" fontId="6" fillId="0" borderId="0" xfId="0" applyFont="1" applyFill="1" applyBorder="1" applyAlignment="1">
      <alignment horizontal="right"/>
    </xf>
    <xf numFmtId="0" fontId="7" fillId="2" borderId="1" xfId="0" applyFont="1" applyFill="1" applyBorder="1" applyAlignment="1">
      <alignment horizontal="center" vertical="center" readingOrder="1"/>
    </xf>
    <xf numFmtId="3" fontId="7" fillId="2" borderId="1" xfId="0" applyNumberFormat="1" applyFont="1" applyFill="1" applyBorder="1" applyAlignment="1">
      <alignment horizontal="center" vertical="center" wrapText="1" readingOrder="2"/>
    </xf>
    <xf numFmtId="165" fontId="7" fillId="2" borderId="1" xfId="2" applyNumberFormat="1" applyFont="1" applyFill="1" applyBorder="1" applyAlignment="1">
      <alignment horizontal="center" vertical="center" wrapText="1" readingOrder="2"/>
    </xf>
    <xf numFmtId="164" fontId="7" fillId="2" borderId="1" xfId="0" applyNumberFormat="1" applyFont="1" applyFill="1" applyBorder="1" applyAlignment="1">
      <alignment horizontal="center" vertical="center" wrapText="1" readingOrder="2"/>
    </xf>
    <xf numFmtId="0" fontId="6" fillId="0" borderId="0" xfId="0" applyFont="1" applyFill="1"/>
    <xf numFmtId="0" fontId="14" fillId="2" borderId="1" xfId="0" applyFont="1" applyFill="1" applyBorder="1" applyAlignment="1">
      <alignment horizontal="center" vertical="center" wrapText="1" readingOrder="2"/>
    </xf>
    <xf numFmtId="0" fontId="6" fillId="2" borderId="1" xfId="0" applyFont="1" applyFill="1" applyBorder="1" applyAlignment="1">
      <alignment horizontal="center" vertical="center"/>
    </xf>
    <xf numFmtId="9"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3" fontId="6" fillId="2" borderId="1" xfId="5" applyNumberFormat="1" applyFont="1" applyFill="1" applyBorder="1" applyAlignment="1">
      <alignment horizontal="left" vertical="center" wrapText="1" readingOrder="1"/>
    </xf>
    <xf numFmtId="0" fontId="6" fillId="0" borderId="1" xfId="0" applyFont="1" applyBorder="1" applyAlignment="1">
      <alignment horizontal="right" vertical="center" wrapText="1" indent="1" readingOrder="2"/>
    </xf>
    <xf numFmtId="0" fontId="6" fillId="0" borderId="1" xfId="0" applyFont="1" applyBorder="1" applyAlignment="1">
      <alignment horizontal="right"/>
    </xf>
    <xf numFmtId="0" fontId="6" fillId="2" borderId="1" xfId="0" applyFont="1" applyFill="1" applyBorder="1" applyAlignment="1">
      <alignment horizontal="right"/>
    </xf>
    <xf numFmtId="0" fontId="6" fillId="2" borderId="1" xfId="0" applyFont="1" applyFill="1" applyBorder="1" applyAlignment="1">
      <alignment horizontal="right" vertical="top" wrapText="1"/>
    </xf>
    <xf numFmtId="0" fontId="10" fillId="2" borderId="0" xfId="0" applyFont="1" applyFill="1" applyBorder="1" applyAlignment="1">
      <alignment horizontal="center" vertical="center" wrapText="1" readingOrder="2"/>
    </xf>
    <xf numFmtId="3" fontId="6" fillId="2" borderId="5" xfId="0" applyNumberFormat="1" applyFont="1" applyFill="1" applyBorder="1" applyAlignment="1">
      <alignment horizontal="left" vertical="center"/>
    </xf>
    <xf numFmtId="0" fontId="6" fillId="2" borderId="1" xfId="0" applyFont="1" applyFill="1" applyBorder="1" applyAlignment="1">
      <alignment horizontal="right" vertical="center"/>
    </xf>
    <xf numFmtId="0" fontId="6" fillId="2" borderId="1" xfId="0" applyFont="1" applyFill="1" applyBorder="1" applyAlignment="1">
      <alignment horizontal="right" vertical="center" wrapText="1" readingOrder="1"/>
    </xf>
    <xf numFmtId="0" fontId="6" fillId="2" borderId="1" xfId="0" applyFont="1" applyFill="1" applyBorder="1" applyAlignment="1">
      <alignment horizontal="center" vertical="center" wrapText="1" readingOrder="1"/>
    </xf>
    <xf numFmtId="0" fontId="6" fillId="0" borderId="1" xfId="0" applyFont="1" applyBorder="1" applyAlignment="1">
      <alignment vertical="center" wrapText="1" readingOrder="2"/>
    </xf>
    <xf numFmtId="0" fontId="5" fillId="2" borderId="1" xfId="0" applyFont="1" applyFill="1" applyBorder="1" applyAlignment="1">
      <alignment horizontal="right" vertical="center" wrapText="1"/>
    </xf>
    <xf numFmtId="9" fontId="6" fillId="0" borderId="1" xfId="0" applyNumberFormat="1" applyFont="1" applyFill="1" applyBorder="1" applyAlignment="1">
      <alignment horizontal="center" vertical="center"/>
    </xf>
    <xf numFmtId="0" fontId="0" fillId="0" borderId="1" xfId="0" applyFill="1" applyBorder="1" applyAlignment="1"/>
    <xf numFmtId="9" fontId="6" fillId="2" borderId="1" xfId="4"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right" vertical="center" wrapText="1" readingOrder="2"/>
    </xf>
    <xf numFmtId="9" fontId="6" fillId="2" borderId="1" xfId="4" applyFont="1" applyFill="1" applyBorder="1" applyAlignment="1">
      <alignment horizontal="center" vertical="center" wrapText="1" readingOrder="2"/>
    </xf>
    <xf numFmtId="0" fontId="0" fillId="2" borderId="1" xfId="0" applyFill="1" applyBorder="1"/>
    <xf numFmtId="0" fontId="0" fillId="2" borderId="1" xfId="0" applyFill="1" applyBorder="1" applyAlignment="1"/>
    <xf numFmtId="9" fontId="6" fillId="2" borderId="1" xfId="0" applyNumberFormat="1" applyFont="1" applyFill="1" applyBorder="1" applyAlignment="1">
      <alignment vertical="center" wrapText="1" readingOrder="1"/>
    </xf>
    <xf numFmtId="3" fontId="10" fillId="2" borderId="1" xfId="5" applyNumberFormat="1" applyFont="1" applyFill="1" applyBorder="1" applyAlignment="1">
      <alignment horizontal="left" vertical="center" indent="1" readingOrder="1"/>
    </xf>
    <xf numFmtId="0" fontId="2" fillId="2" borderId="1" xfId="0" applyFont="1" applyFill="1" applyBorder="1" applyAlignment="1">
      <alignment horizontal="center" wrapText="1"/>
    </xf>
    <xf numFmtId="0" fontId="6" fillId="2" borderId="1" xfId="0" applyFont="1" applyFill="1" applyBorder="1" applyAlignment="1">
      <alignment vertical="center" wrapText="1" readingOrder="1"/>
    </xf>
    <xf numFmtId="0" fontId="6" fillId="2" borderId="1" xfId="0" applyFont="1" applyFill="1" applyBorder="1" applyAlignment="1">
      <alignment horizontal="left" vertical="center" wrapText="1" indent="1" readingOrder="1"/>
    </xf>
    <xf numFmtId="9" fontId="6" fillId="2" borderId="1" xfId="4" applyFont="1" applyFill="1" applyBorder="1" applyAlignment="1">
      <alignment horizontal="center" vertical="center" wrapText="1" readingOrder="1"/>
    </xf>
    <xf numFmtId="0" fontId="6" fillId="2" borderId="1" xfId="0" applyFont="1" applyFill="1" applyBorder="1" applyAlignment="1">
      <alignment horizontal="right" vertical="center" indent="1"/>
    </xf>
    <xf numFmtId="3" fontId="10" fillId="0" borderId="1" xfId="0" applyNumberFormat="1" applyFont="1" applyFill="1" applyBorder="1" applyAlignment="1">
      <alignment horizontal="left" vertical="center" indent="1" readingOrder="1"/>
    </xf>
    <xf numFmtId="164" fontId="6" fillId="2" borderId="1" xfId="0" applyNumberFormat="1" applyFont="1" applyFill="1" applyBorder="1" applyAlignment="1">
      <alignment vertical="center" wrapText="1" readingOrder="2"/>
    </xf>
    <xf numFmtId="165" fontId="7" fillId="2" borderId="1" xfId="2" applyNumberFormat="1" applyFont="1" applyFill="1" applyBorder="1" applyAlignment="1">
      <alignment vertical="center" wrapText="1" readingOrder="2"/>
    </xf>
    <xf numFmtId="0" fontId="6" fillId="2" borderId="1" xfId="0" applyFont="1" applyFill="1" applyBorder="1" applyAlignment="1">
      <alignment horizontal="right" wrapText="1" readingOrder="2"/>
    </xf>
    <xf numFmtId="0" fontId="0" fillId="0" borderId="0" xfId="0" applyFont="1" applyAlignment="1">
      <alignment horizontal="right" readingOrder="2"/>
    </xf>
    <xf numFmtId="0" fontId="22" fillId="3" borderId="1" xfId="0" applyFont="1" applyFill="1" applyBorder="1" applyAlignment="1">
      <alignment horizontal="center" vertical="center" wrapText="1" readingOrder="2"/>
    </xf>
    <xf numFmtId="0" fontId="22" fillId="3" borderId="1" xfId="0" applyFont="1" applyFill="1" applyBorder="1" applyAlignment="1">
      <alignment horizontal="center" vertical="center" wrapText="1"/>
    </xf>
    <xf numFmtId="0" fontId="2" fillId="0" borderId="0" xfId="0" applyFont="1" applyAlignment="1">
      <alignment vertical="center" readingOrder="2"/>
    </xf>
    <xf numFmtId="0" fontId="10" fillId="0" borderId="0" xfId="0" applyFont="1" applyAlignment="1">
      <alignment wrapText="1"/>
    </xf>
    <xf numFmtId="0" fontId="6" fillId="2" borderId="1" xfId="0" applyFont="1" applyFill="1" applyBorder="1" applyAlignment="1">
      <alignment wrapText="1"/>
    </xf>
    <xf numFmtId="0" fontId="10" fillId="0" borderId="0" xfId="0" applyFont="1" applyAlignment="1">
      <alignment horizontal="center" vertical="center" wrapText="1"/>
    </xf>
    <xf numFmtId="3" fontId="6" fillId="0" borderId="1" xfId="0" applyNumberFormat="1" applyFont="1" applyBorder="1" applyAlignment="1">
      <alignment horizontal="left" vertical="center"/>
    </xf>
    <xf numFmtId="0" fontId="6" fillId="2" borderId="1" xfId="0" applyFont="1" applyFill="1" applyBorder="1" applyAlignment="1">
      <alignment horizontal="right" vertical="center" wrapText="1" indent="1"/>
    </xf>
    <xf numFmtId="0" fontId="7" fillId="2" borderId="1" xfId="2" applyFont="1" applyFill="1" applyBorder="1" applyAlignment="1">
      <alignment vertical="center" wrapText="1"/>
    </xf>
    <xf numFmtId="164" fontId="6" fillId="2" borderId="1" xfId="0" applyNumberFormat="1" applyFont="1" applyFill="1" applyBorder="1" applyAlignment="1">
      <alignment horizontal="right" vertical="center" wrapText="1"/>
    </xf>
    <xf numFmtId="0" fontId="6" fillId="2" borderId="1" xfId="0" applyFont="1" applyFill="1" applyBorder="1" applyAlignment="1">
      <alignment wrapText="1" readingOrder="2"/>
    </xf>
    <xf numFmtId="9" fontId="0" fillId="0" borderId="0" xfId="4" applyFont="1" applyAlignment="1">
      <alignment horizontal="center" vertical="center"/>
    </xf>
    <xf numFmtId="9" fontId="6" fillId="0" borderId="1" xfId="4" applyFont="1" applyBorder="1" applyAlignment="1">
      <alignment horizontal="center" vertical="center" wrapText="1"/>
    </xf>
    <xf numFmtId="0" fontId="7" fillId="2" borderId="1" xfId="2" applyFont="1" applyFill="1" applyBorder="1" applyAlignment="1">
      <alignment vertical="center" wrapText="1" readingOrder="2"/>
    </xf>
    <xf numFmtId="9" fontId="6" fillId="2" borderId="1" xfId="4" applyFont="1" applyFill="1" applyBorder="1" applyAlignment="1">
      <alignment horizontal="center" vertical="center"/>
    </xf>
    <xf numFmtId="0" fontId="8" fillId="3" borderId="1" xfId="0" applyFont="1" applyFill="1" applyBorder="1" applyAlignment="1">
      <alignment vertical="center" wrapText="1"/>
    </xf>
    <xf numFmtId="9" fontId="6" fillId="2" borderId="1" xfId="0" applyNumberFormat="1" applyFont="1" applyFill="1" applyBorder="1" applyAlignment="1">
      <alignment vertical="center" wrapText="1" readingOrder="2"/>
    </xf>
    <xf numFmtId="3" fontId="6" fillId="2" borderId="1" xfId="5" applyNumberFormat="1" applyFont="1" applyFill="1" applyBorder="1" applyAlignment="1">
      <alignment vertical="center" readingOrder="1"/>
    </xf>
    <xf numFmtId="3" fontId="6" fillId="2" borderId="1" xfId="0" applyNumberFormat="1" applyFont="1" applyFill="1" applyBorder="1" applyAlignment="1">
      <alignment vertical="center" readingOrder="1"/>
    </xf>
    <xf numFmtId="166" fontId="6" fillId="2" borderId="1" xfId="5" applyNumberFormat="1" applyFont="1" applyFill="1" applyBorder="1" applyAlignment="1">
      <alignment vertical="center" wrapText="1" readingOrder="2"/>
    </xf>
    <xf numFmtId="0" fontId="10" fillId="0" borderId="0" xfId="0" applyFont="1" applyFill="1" applyAlignment="1">
      <alignment wrapText="1"/>
    </xf>
    <xf numFmtId="0" fontId="10" fillId="0" borderId="0" xfId="0" applyFont="1" applyFill="1" applyBorder="1" applyAlignment="1">
      <alignment wrapText="1"/>
    </xf>
    <xf numFmtId="9" fontId="6" fillId="2" borderId="1" xfId="0" applyNumberFormat="1" applyFont="1" applyFill="1" applyBorder="1" applyAlignment="1">
      <alignment horizontal="center" vertical="center" wrapText="1" readingOrder="2"/>
    </xf>
    <xf numFmtId="0" fontId="7" fillId="2" borderId="1" xfId="0" applyFont="1" applyFill="1" applyBorder="1" applyAlignment="1">
      <alignment vertical="center" wrapText="1" readingOrder="1"/>
    </xf>
    <xf numFmtId="3" fontId="7" fillId="2" borderId="1" xfId="5" applyNumberFormat="1" applyFont="1" applyFill="1" applyBorder="1" applyAlignment="1">
      <alignment vertical="center" readingOrder="1"/>
    </xf>
    <xf numFmtId="0" fontId="10" fillId="0" borderId="0" xfId="0" applyFont="1" applyFill="1" applyBorder="1" applyAlignment="1">
      <alignment horizontal="center" vertical="top" wrapText="1"/>
    </xf>
    <xf numFmtId="0" fontId="10" fillId="2" borderId="0" xfId="0" applyFont="1" applyFill="1" applyBorder="1" applyAlignment="1">
      <alignment horizontal="center" vertical="top" wrapText="1" readingOrder="2"/>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wrapText="1"/>
    </xf>
    <xf numFmtId="0" fontId="6" fillId="0" borderId="1" xfId="0" applyFont="1" applyBorder="1" applyAlignment="1">
      <alignment horizontal="center" vertical="center"/>
    </xf>
    <xf numFmtId="3" fontId="6" fillId="2" borderId="1" xfId="5" applyNumberFormat="1" applyFont="1" applyFill="1" applyBorder="1" applyAlignment="1">
      <alignment horizontal="center" vertical="center" readingOrder="1"/>
    </xf>
    <xf numFmtId="0" fontId="6" fillId="0" borderId="0" xfId="0" applyFont="1" applyFill="1" applyAlignment="1">
      <alignment wrapText="1"/>
    </xf>
    <xf numFmtId="9" fontId="7" fillId="2" borderId="1" xfId="0" applyNumberFormat="1" applyFont="1" applyFill="1" applyBorder="1" applyAlignment="1">
      <alignment horizontal="center" vertical="center" wrapText="1"/>
    </xf>
    <xf numFmtId="9" fontId="6" fillId="0" borderId="1" xfId="4" applyFont="1" applyBorder="1" applyAlignment="1">
      <alignment horizontal="right" vertical="center" wrapText="1"/>
    </xf>
    <xf numFmtId="167" fontId="6" fillId="0" borderId="1" xfId="5" applyNumberFormat="1" applyFont="1" applyFill="1" applyBorder="1" applyAlignment="1">
      <alignment horizontal="left" vertical="center" indent="1" readingOrder="1"/>
    </xf>
    <xf numFmtId="9" fontId="6" fillId="2" borderId="1" xfId="4" applyFont="1" applyFill="1" applyBorder="1" applyAlignment="1">
      <alignment horizontal="left" vertical="center" wrapText="1" indent="1" readingOrder="1"/>
    </xf>
    <xf numFmtId="166" fontId="6" fillId="2" borderId="1" xfId="5" applyNumberFormat="1" applyFont="1" applyFill="1" applyBorder="1" applyAlignment="1">
      <alignment horizontal="right" vertical="center" wrapText="1" indent="1" readingOrder="2"/>
    </xf>
    <xf numFmtId="2" fontId="6" fillId="2" borderId="1" xfId="0" applyNumberFormat="1" applyFont="1" applyFill="1" applyBorder="1" applyAlignment="1">
      <alignment horizontal="right" vertical="center" wrapText="1" readingOrder="2"/>
    </xf>
    <xf numFmtId="0" fontId="7" fillId="2" borderId="1" xfId="0" applyFont="1" applyFill="1" applyBorder="1" applyAlignment="1">
      <alignment horizontal="right" vertical="center" wrapText="1" indent="2"/>
    </xf>
    <xf numFmtId="3" fontId="6" fillId="2" borderId="1" xfId="0" applyNumberFormat="1" applyFont="1" applyFill="1" applyBorder="1" applyAlignment="1">
      <alignment horizontal="center" vertical="center" readingOrder="1"/>
    </xf>
    <xf numFmtId="166" fontId="7" fillId="2" borderId="1" xfId="5" applyNumberFormat="1"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6" fillId="0" borderId="1" xfId="0" applyFont="1" applyBorder="1" applyAlignment="1">
      <alignment wrapText="1" readingOrder="2"/>
    </xf>
    <xf numFmtId="0" fontId="6" fillId="2" borderId="3" xfId="0" applyFont="1" applyFill="1" applyBorder="1" applyAlignment="1">
      <alignment vertical="center" wrapText="1" readingOrder="2"/>
    </xf>
    <xf numFmtId="9" fontId="6" fillId="2" borderId="1" xfId="0" applyNumberFormat="1" applyFont="1" applyFill="1" applyBorder="1" applyAlignment="1">
      <alignment horizontal="right" vertical="center" wrapText="1" indent="2"/>
    </xf>
    <xf numFmtId="3" fontId="6" fillId="2" borderId="1" xfId="5" applyNumberFormat="1" applyFont="1" applyFill="1" applyBorder="1" applyAlignment="1">
      <alignment horizontal="left" vertical="center" wrapText="1" indent="1" readingOrder="1"/>
    </xf>
    <xf numFmtId="0" fontId="6" fillId="2" borderId="1" xfId="0" applyFont="1" applyFill="1" applyBorder="1" applyAlignment="1">
      <alignment horizontal="center" vertical="top" wrapText="1" readingOrder="2"/>
    </xf>
    <xf numFmtId="0" fontId="6" fillId="2" borderId="1" xfId="0" applyFont="1" applyFill="1" applyBorder="1" applyAlignment="1">
      <alignment vertical="top" wrapText="1" readingOrder="2"/>
    </xf>
    <xf numFmtId="166" fontId="7" fillId="2" borderId="1" xfId="6" applyNumberFormat="1" applyFont="1" applyFill="1" applyBorder="1" applyAlignment="1">
      <alignment horizontal="right" vertical="center" wrapText="1" readingOrder="2"/>
    </xf>
    <xf numFmtId="0" fontId="24" fillId="0" borderId="1" xfId="0" applyFont="1" applyBorder="1" applyAlignment="1">
      <alignment vertical="center" wrapText="1"/>
    </xf>
    <xf numFmtId="0" fontId="7" fillId="2" borderId="1" xfId="2" applyFont="1" applyFill="1" applyBorder="1" applyAlignment="1">
      <alignment horizontal="right" vertical="center" wrapText="1"/>
    </xf>
    <xf numFmtId="0" fontId="6" fillId="2" borderId="2" xfId="0" applyFont="1" applyFill="1" applyBorder="1" applyAlignment="1">
      <alignment horizontal="center" vertical="center" wrapText="1"/>
    </xf>
    <xf numFmtId="164" fontId="6" fillId="2" borderId="1" xfId="0" applyNumberFormat="1" applyFont="1" applyFill="1" applyBorder="1" applyAlignment="1">
      <alignment vertical="center" wrapText="1"/>
    </xf>
    <xf numFmtId="3" fontId="6" fillId="0" borderId="1" xfId="5" applyNumberFormat="1" applyFont="1" applyFill="1" applyBorder="1" applyAlignment="1">
      <alignment horizontal="left" vertical="center" readingOrder="1"/>
    </xf>
    <xf numFmtId="3" fontId="6" fillId="2" borderId="1" xfId="5" applyNumberFormat="1" applyFont="1" applyFill="1" applyBorder="1" applyAlignment="1">
      <alignment horizontal="left" vertical="center" readingOrder="1"/>
    </xf>
    <xf numFmtId="0" fontId="6" fillId="2" borderId="1" xfId="0" applyFont="1" applyFill="1" applyBorder="1" applyAlignment="1">
      <alignment horizontal="center" vertical="center" readingOrder="1"/>
    </xf>
    <xf numFmtId="0" fontId="0" fillId="0" borderId="0" xfId="0" applyAlignment="1">
      <alignment horizontal="right" vertical="center" wrapText="1"/>
    </xf>
    <xf numFmtId="0" fontId="10" fillId="2" borderId="0" xfId="0" applyFont="1" applyFill="1"/>
    <xf numFmtId="0" fontId="6" fillId="0" borderId="1" xfId="0" applyFont="1" applyBorder="1" applyAlignment="1">
      <alignment horizontal="right" wrapText="1" readingOrder="2"/>
    </xf>
    <xf numFmtId="0" fontId="6" fillId="0" borderId="1" xfId="0" applyFont="1" applyBorder="1" applyAlignment="1">
      <alignment horizontal="right" vertical="center" wrapText="1" readingOrder="1"/>
    </xf>
    <xf numFmtId="0" fontId="25" fillId="0" borderId="1" xfId="0" applyFont="1" applyFill="1" applyBorder="1" applyAlignment="1">
      <alignment horizontal="center" vertical="center" wrapText="1"/>
    </xf>
    <xf numFmtId="0" fontId="15" fillId="2" borderId="1" xfId="0" applyFont="1" applyFill="1" applyBorder="1" applyAlignment="1">
      <alignment horizontal="right" vertical="center" wrapText="1"/>
    </xf>
    <xf numFmtId="0" fontId="0" fillId="0" borderId="0" xfId="0"/>
    <xf numFmtId="0" fontId="8" fillId="3" borderId="1" xfId="0" applyFont="1" applyFill="1" applyBorder="1" applyAlignment="1">
      <alignment horizontal="center" vertical="center" wrapText="1"/>
    </xf>
    <xf numFmtId="0" fontId="7" fillId="0" borderId="1" xfId="0" applyFont="1" applyFill="1" applyBorder="1" applyAlignment="1">
      <alignment horizontal="right" vertical="center" wrapText="1" readingOrder="2"/>
    </xf>
    <xf numFmtId="0" fontId="8" fillId="3"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vertical="center" wrapText="1" readingOrder="2"/>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right" vertical="center" wrapText="1" indent="1" readingOrder="2"/>
    </xf>
    <xf numFmtId="1" fontId="6" fillId="2" borderId="1" xfId="0" applyNumberFormat="1" applyFont="1" applyFill="1" applyBorder="1" applyAlignment="1">
      <alignment horizontal="center" vertical="center" wrapText="1" readingOrder="2"/>
    </xf>
    <xf numFmtId="0" fontId="6" fillId="2" borderId="5" xfId="0" applyFont="1" applyFill="1" applyBorder="1" applyAlignment="1">
      <alignment vertical="center" wrapText="1" readingOrder="2"/>
    </xf>
    <xf numFmtId="0" fontId="6" fillId="2" borderId="2" xfId="0" applyFont="1" applyFill="1" applyBorder="1" applyAlignment="1">
      <alignment vertical="center" wrapText="1" readingOrder="2"/>
    </xf>
    <xf numFmtId="0" fontId="23" fillId="2" borderId="1" xfId="0" applyFont="1" applyFill="1" applyBorder="1" applyAlignment="1">
      <alignment horizontal="right" vertical="center" wrapText="1" readingOrder="2"/>
    </xf>
    <xf numFmtId="9" fontId="6" fillId="0" borderId="1" xfId="0" applyNumberFormat="1" applyFont="1" applyBorder="1" applyAlignment="1">
      <alignment horizontal="center" vertical="center" wrapText="1"/>
    </xf>
    <xf numFmtId="0" fontId="10" fillId="0" borderId="0" xfId="0" applyFont="1" applyFill="1" applyBorder="1" applyAlignment="1">
      <alignment horizontal="center" vertical="center" wrapText="1" readingOrder="2"/>
    </xf>
    <xf numFmtId="0" fontId="6" fillId="0" borderId="3" xfId="0" applyFont="1" applyBorder="1" applyAlignment="1">
      <alignment vertical="center" wrapText="1" readingOrder="2"/>
    </xf>
    <xf numFmtId="9" fontId="6" fillId="0" borderId="1" xfId="0" applyNumberFormat="1" applyFont="1" applyFill="1" applyBorder="1" applyAlignment="1">
      <alignment horizontal="right" vertical="center" wrapText="1" indent="1" readingOrder="2"/>
    </xf>
    <xf numFmtId="9" fontId="6" fillId="2" borderId="1" xfId="0" applyNumberFormat="1" applyFont="1" applyFill="1" applyBorder="1" applyAlignment="1">
      <alignment horizontal="right" vertical="center" wrapText="1" indent="1" readingOrder="2"/>
    </xf>
    <xf numFmtId="0" fontId="10" fillId="2" borderId="1" xfId="0" applyFont="1" applyFill="1" applyBorder="1" applyAlignment="1">
      <alignment horizontal="center" vertical="center" wrapText="1" readingOrder="2"/>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readingOrder="2"/>
    </xf>
    <xf numFmtId="0" fontId="6" fillId="2" borderId="1" xfId="0" applyFont="1" applyFill="1" applyBorder="1" applyAlignment="1">
      <alignment vertical="center" wrapText="1" readingOrder="2"/>
    </xf>
    <xf numFmtId="0" fontId="6" fillId="0" borderId="2" xfId="0" applyFont="1" applyBorder="1" applyAlignment="1">
      <alignment vertical="center" wrapText="1" readingOrder="2"/>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6" fillId="0" borderId="1" xfId="0" applyFont="1" applyFill="1" applyBorder="1" applyAlignment="1">
      <alignment horizontal="center" vertical="center" wrapText="1" readingOrder="2"/>
    </xf>
    <xf numFmtId="0" fontId="7" fillId="0"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readingOrder="2"/>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0" borderId="1" xfId="0" applyFont="1" applyFill="1" applyBorder="1" applyAlignment="1">
      <alignment vertical="center" wrapText="1" readingOrder="2"/>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3" fontId="6" fillId="2" borderId="1" xfId="5" applyNumberFormat="1" applyFont="1" applyFill="1" applyBorder="1" applyAlignment="1">
      <alignment horizontal="right" vertical="center" wrapText="1" indent="1" readingOrder="2"/>
    </xf>
    <xf numFmtId="0" fontId="7" fillId="0" borderId="1" xfId="2" applyFont="1" applyFill="1" applyBorder="1" applyAlignment="1">
      <alignment vertical="center" wrapText="1"/>
    </xf>
    <xf numFmtId="165" fontId="7" fillId="2" borderId="1" xfId="2" applyNumberFormat="1" applyFont="1" applyFill="1" applyBorder="1" applyAlignment="1">
      <alignment horizontal="right" vertical="center" wrapText="1"/>
    </xf>
    <xf numFmtId="0" fontId="23"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3" fontId="23" fillId="2" borderId="1" xfId="5" applyNumberFormat="1" applyFont="1" applyFill="1" applyBorder="1" applyAlignment="1">
      <alignment horizontal="center" vertical="center" readingOrder="1"/>
    </xf>
    <xf numFmtId="9" fontId="23" fillId="2" borderId="1" xfId="4" applyFont="1" applyFill="1" applyBorder="1" applyAlignment="1">
      <alignment horizontal="center" vertical="center" wrapText="1" readingOrder="1"/>
    </xf>
    <xf numFmtId="9" fontId="23" fillId="2" borderId="1" xfId="0" applyNumberFormat="1" applyFont="1" applyFill="1" applyBorder="1" applyAlignment="1">
      <alignment horizontal="center" vertical="center" wrapText="1" readingOrder="2"/>
    </xf>
    <xf numFmtId="0" fontId="23" fillId="2" borderId="1" xfId="0" applyFont="1" applyFill="1" applyBorder="1" applyAlignment="1">
      <alignment horizontal="center" vertical="center" wrapText="1" readingOrder="2"/>
    </xf>
    <xf numFmtId="0" fontId="23" fillId="2" borderId="1" xfId="0" applyFont="1" applyFill="1" applyBorder="1" applyAlignment="1">
      <alignment vertical="center" wrapText="1" readingOrder="2"/>
    </xf>
    <xf numFmtId="0" fontId="27" fillId="2" borderId="1" xfId="0" applyFont="1" applyFill="1" applyBorder="1" applyAlignment="1">
      <alignment horizontal="right" vertical="center" wrapText="1" readingOrder="2"/>
    </xf>
    <xf numFmtId="0" fontId="23" fillId="2" borderId="1" xfId="0" applyFont="1" applyFill="1" applyBorder="1" applyAlignment="1">
      <alignment horizontal="center" vertical="center" wrapText="1" readingOrder="1"/>
    </xf>
    <xf numFmtId="165" fontId="27" fillId="2" borderId="1" xfId="2" applyNumberFormat="1" applyFont="1" applyFill="1" applyBorder="1" applyAlignment="1">
      <alignment horizontal="center" vertical="center" wrapText="1" readingOrder="2"/>
    </xf>
    <xf numFmtId="164" fontId="23" fillId="2" borderId="1" xfId="0" applyNumberFormat="1" applyFont="1" applyFill="1" applyBorder="1" applyAlignment="1">
      <alignment horizontal="center" vertical="center" wrapText="1" readingOrder="2"/>
    </xf>
    <xf numFmtId="0" fontId="23" fillId="0" borderId="0" xfId="0" applyFont="1" applyAlignment="1">
      <alignment horizontal="center" vertical="center" wrapText="1"/>
    </xf>
    <xf numFmtId="0" fontId="27" fillId="2" borderId="1" xfId="2" applyFont="1" applyFill="1" applyBorder="1" applyAlignment="1">
      <alignment horizontal="right" vertical="center" wrapText="1" readingOrder="2"/>
    </xf>
    <xf numFmtId="0" fontId="23" fillId="2" borderId="1" xfId="0" applyFont="1" applyFill="1" applyBorder="1" applyAlignment="1">
      <alignment horizontal="right" vertical="center" wrapText="1"/>
    </xf>
    <xf numFmtId="0" fontId="27" fillId="2" borderId="1" xfId="2" quotePrefix="1" applyFont="1" applyFill="1" applyBorder="1" applyAlignment="1">
      <alignment horizontal="right" vertical="center" wrapText="1" readingOrder="2"/>
    </xf>
    <xf numFmtId="0" fontId="23" fillId="2" borderId="3" xfId="0" applyFont="1" applyFill="1" applyBorder="1" applyAlignment="1">
      <alignment horizontal="center" vertical="center" wrapText="1" readingOrder="2"/>
    </xf>
    <xf numFmtId="0" fontId="23" fillId="2" borderId="1" xfId="0" applyFont="1" applyFill="1" applyBorder="1" applyAlignment="1">
      <alignment vertical="center" wrapText="1"/>
    </xf>
    <xf numFmtId="0" fontId="27" fillId="2" borderId="1" xfId="0" applyFont="1" applyFill="1" applyBorder="1" applyAlignment="1">
      <alignment horizontal="right" wrapText="1"/>
    </xf>
    <xf numFmtId="166" fontId="27" fillId="2" borderId="1" xfId="5" applyNumberFormat="1" applyFont="1" applyFill="1" applyBorder="1" applyAlignment="1">
      <alignment horizontal="center" vertical="center" wrapText="1"/>
    </xf>
    <xf numFmtId="0" fontId="27" fillId="2" borderId="1" xfId="0" applyFont="1" applyFill="1" applyBorder="1" applyAlignment="1">
      <alignment horizontal="center" vertical="center" wrapText="1" readingOrder="2"/>
    </xf>
    <xf numFmtId="0" fontId="23" fillId="2" borderId="1" xfId="0" applyFont="1" applyFill="1" applyBorder="1" applyAlignment="1">
      <alignment vertical="center"/>
    </xf>
    <xf numFmtId="0" fontId="23" fillId="0" borderId="0" xfId="0" applyFont="1" applyFill="1" applyAlignment="1">
      <alignment wrapText="1"/>
    </xf>
    <xf numFmtId="0" fontId="27" fillId="2" borderId="1" xfId="0" applyFont="1" applyFill="1" applyBorder="1" applyAlignment="1">
      <alignment horizontal="center" vertical="center" wrapText="1" readingOrder="1"/>
    </xf>
    <xf numFmtId="9" fontId="27" fillId="2" borderId="1" xfId="0" applyNumberFormat="1" applyFont="1" applyFill="1" applyBorder="1" applyAlignment="1">
      <alignment horizontal="center" vertical="center" wrapText="1" readingOrder="2"/>
    </xf>
    <xf numFmtId="0" fontId="23" fillId="0" borderId="1" xfId="0" applyFont="1" applyFill="1" applyBorder="1" applyAlignment="1">
      <alignment horizontal="right" vertical="center" wrapText="1" readingOrder="2"/>
    </xf>
    <xf numFmtId="3" fontId="23" fillId="0" borderId="1" xfId="5" applyNumberFormat="1" applyFont="1" applyFill="1" applyBorder="1" applyAlignment="1">
      <alignment horizontal="center" vertical="center" readingOrder="1"/>
    </xf>
    <xf numFmtId="0" fontId="23"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readingOrder="2"/>
    </xf>
    <xf numFmtId="0" fontId="23" fillId="0" borderId="1" xfId="0" applyFont="1" applyFill="1" applyBorder="1" applyAlignment="1">
      <alignment horizontal="center" vertical="center" wrapText="1" readingOrder="2"/>
    </xf>
    <xf numFmtId="3" fontId="23" fillId="2" borderId="1" xfId="0" applyNumberFormat="1" applyFont="1" applyFill="1" applyBorder="1" applyAlignment="1">
      <alignment horizontal="center" vertical="center"/>
    </xf>
    <xf numFmtId="9" fontId="27" fillId="2" borderId="1" xfId="4" applyFont="1" applyFill="1" applyBorder="1" applyAlignment="1">
      <alignment horizontal="center" vertical="center" wrapText="1"/>
    </xf>
    <xf numFmtId="0" fontId="23" fillId="2" borderId="1" xfId="0" applyFont="1" applyFill="1" applyBorder="1" applyAlignment="1">
      <alignment horizontal="right" vertical="center" wrapText="1" readingOrder="1"/>
    </xf>
    <xf numFmtId="166" fontId="6" fillId="0" borderId="1" xfId="5" applyNumberFormat="1" applyFont="1" applyFill="1" applyBorder="1" applyAlignment="1">
      <alignment vertical="center" wrapText="1" readingOrder="2"/>
    </xf>
    <xf numFmtId="0" fontId="19" fillId="0" borderId="1" xfId="0" applyFont="1" applyFill="1" applyBorder="1" applyAlignment="1">
      <alignment horizontal="right" vertical="center" wrapText="1" indent="1" readingOrder="2"/>
    </xf>
    <xf numFmtId="0" fontId="17" fillId="0" borderId="1" xfId="0" applyFont="1" applyFill="1" applyBorder="1" applyAlignment="1">
      <alignment horizontal="right" vertical="center" wrapText="1" indent="1"/>
    </xf>
    <xf numFmtId="0" fontId="7" fillId="0" borderId="1" xfId="0" applyFont="1" applyFill="1" applyBorder="1" applyAlignment="1">
      <alignment horizontal="center" vertical="center"/>
    </xf>
    <xf numFmtId="0" fontId="15" fillId="0" borderId="1" xfId="0" applyFont="1" applyFill="1" applyBorder="1" applyAlignment="1">
      <alignment horizontal="center" vertical="center" wrapText="1" readingOrder="2"/>
    </xf>
    <xf numFmtId="0" fontId="0" fillId="0" borderId="0" xfId="0"/>
    <xf numFmtId="0" fontId="6" fillId="2" borderId="1" xfId="0" applyFont="1" applyFill="1" applyBorder="1" applyAlignment="1">
      <alignment vertical="center" wrapText="1" readingOrder="2"/>
    </xf>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vertical="center" wrapText="1" readingOrder="2"/>
    </xf>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readingOrder="2"/>
    </xf>
    <xf numFmtId="3" fontId="7" fillId="2" borderId="1" xfId="5" applyNumberFormat="1" applyFont="1" applyFill="1" applyBorder="1" applyAlignment="1">
      <alignment horizontal="right" vertical="center" wrapText="1" readingOrder="1"/>
    </xf>
    <xf numFmtId="0" fontId="7" fillId="0" borderId="1" xfId="0" applyFont="1" applyFill="1" applyBorder="1" applyAlignment="1">
      <alignment vertical="center" wrapText="1" readingOrder="1"/>
    </xf>
    <xf numFmtId="0" fontId="7" fillId="2" borderId="1" xfId="0" applyFont="1" applyFill="1" applyBorder="1" applyAlignment="1">
      <alignment vertical="center" readingOrder="1"/>
    </xf>
    <xf numFmtId="0" fontId="27" fillId="0" borderId="1" xfId="0" applyFont="1" applyFill="1" applyBorder="1" applyAlignment="1">
      <alignment horizontal="center" vertical="center" wrapText="1"/>
    </xf>
    <xf numFmtId="9" fontId="23" fillId="0" borderId="1" xfId="4" applyFont="1" applyFill="1" applyBorder="1" applyAlignment="1">
      <alignment horizontal="center" vertical="center" wrapText="1" readingOrder="1"/>
    </xf>
    <xf numFmtId="3" fontId="6" fillId="2" borderId="1" xfId="5" applyNumberFormat="1" applyFont="1" applyFill="1" applyBorder="1" applyAlignment="1">
      <alignment horizontal="right" vertical="center" wrapText="1" readingOrder="1"/>
    </xf>
    <xf numFmtId="0" fontId="8" fillId="3" borderId="1" xfId="0" applyFont="1" applyFill="1" applyBorder="1" applyAlignment="1">
      <alignment horizontal="center" vertical="center" wrapText="1"/>
    </xf>
    <xf numFmtId="0" fontId="6" fillId="2" borderId="1" xfId="0" applyFont="1" applyFill="1" applyBorder="1" applyAlignment="1">
      <alignment vertical="center" wrapText="1" readingOrder="2"/>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indent="1" readingOrder="2"/>
    </xf>
    <xf numFmtId="0" fontId="6" fillId="2" borderId="1" xfId="0" applyFont="1" applyFill="1" applyBorder="1" applyAlignment="1">
      <alignment horizontal="right" vertical="center" wrapText="1"/>
    </xf>
    <xf numFmtId="0" fontId="5" fillId="3" borderId="1" xfId="0" applyFont="1" applyFill="1" applyBorder="1" applyAlignment="1">
      <alignment horizontal="center" vertical="center" wrapText="1" readingOrder="2"/>
    </xf>
    <xf numFmtId="0" fontId="5" fillId="3" borderId="1" xfId="0" applyFont="1" applyFill="1" applyBorder="1" applyAlignment="1">
      <alignment horizontal="right" vertical="center" wrapText="1" readingOrder="2"/>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readingOrder="2"/>
    </xf>
    <xf numFmtId="164" fontId="6" fillId="2" borderId="9" xfId="0" applyNumberFormat="1" applyFont="1" applyFill="1" applyBorder="1" applyAlignment="1">
      <alignment horizontal="center" vertical="center" wrapText="1" readingOrder="2"/>
    </xf>
    <xf numFmtId="0" fontId="7" fillId="2" borderId="10" xfId="0" applyFont="1" applyFill="1" applyBorder="1" applyAlignment="1">
      <alignment horizontal="center" vertical="center" wrapText="1" readingOrder="2"/>
    </xf>
    <xf numFmtId="0" fontId="6" fillId="2" borderId="10" xfId="0" applyFont="1" applyFill="1" applyBorder="1" applyAlignment="1">
      <alignment horizontal="center" vertical="center" wrapText="1" readingOrder="2"/>
    </xf>
    <xf numFmtId="0" fontId="6" fillId="2" borderId="10" xfId="0" applyFont="1" applyFill="1" applyBorder="1" applyAlignment="1">
      <alignment vertical="center" wrapText="1" readingOrder="2"/>
    </xf>
    <xf numFmtId="0" fontId="6" fillId="2" borderId="10" xfId="0" applyFont="1" applyFill="1" applyBorder="1" applyAlignment="1">
      <alignment vertical="center" wrapText="1"/>
    </xf>
    <xf numFmtId="0" fontId="7" fillId="2" borderId="9" xfId="0" applyFont="1" applyFill="1" applyBorder="1" applyAlignment="1">
      <alignment horizontal="right" vertical="center" wrapText="1" indent="2"/>
    </xf>
    <xf numFmtId="0" fontId="6" fillId="2" borderId="10" xfId="0" applyFont="1" applyFill="1" applyBorder="1" applyAlignment="1">
      <alignment horizontal="right" vertical="center" wrapText="1" indent="2" readingOrder="2"/>
    </xf>
    <xf numFmtId="0" fontId="6" fillId="2" borderId="10" xfId="0" applyFont="1" applyFill="1" applyBorder="1" applyAlignment="1">
      <alignment horizontal="right" wrapText="1" readingOrder="2"/>
    </xf>
    <xf numFmtId="0" fontId="6" fillId="2" borderId="10" xfId="0" applyFont="1" applyFill="1" applyBorder="1" applyAlignment="1">
      <alignment horizontal="right" vertical="center" wrapText="1" indent="2"/>
    </xf>
    <xf numFmtId="3" fontId="6" fillId="2" borderId="1" xfId="0" applyNumberFormat="1" applyFont="1" applyFill="1" applyBorder="1" applyAlignment="1">
      <alignment horizontal="right" vertical="center" wrapText="1"/>
    </xf>
    <xf numFmtId="3" fontId="6" fillId="2" borderId="1" xfId="5" applyNumberFormat="1" applyFont="1" applyFill="1" applyBorder="1" applyAlignment="1">
      <alignment horizontal="center" vertical="center" readingOrder="1"/>
    </xf>
    <xf numFmtId="0" fontId="6" fillId="2" borderId="1" xfId="0" applyFont="1" applyFill="1" applyBorder="1" applyAlignment="1">
      <alignment horizontal="center" vertical="center" wrapText="1" readingOrder="2"/>
    </xf>
    <xf numFmtId="0" fontId="6" fillId="2" borderId="1" xfId="0" applyFont="1" applyFill="1" applyBorder="1" applyAlignment="1">
      <alignment vertical="center" wrapText="1" readingOrder="2"/>
    </xf>
    <xf numFmtId="0" fontId="7" fillId="2"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2"/>
    </xf>
    <xf numFmtId="3" fontId="6" fillId="2" borderId="1" xfId="5" applyNumberFormat="1" applyFont="1" applyFill="1" applyBorder="1" applyAlignment="1">
      <alignment horizontal="center" vertical="center" wrapText="1" readingOrder="1"/>
    </xf>
    <xf numFmtId="0" fontId="6" fillId="2" borderId="1" xfId="0" applyFont="1" applyFill="1" applyBorder="1" applyAlignment="1">
      <alignment vertical="center" wrapText="1" readingOrder="2"/>
    </xf>
    <xf numFmtId="0" fontId="7" fillId="2" borderId="1" xfId="0" applyFont="1" applyFill="1" applyBorder="1" applyAlignment="1">
      <alignment horizontal="center" vertical="center" wrapText="1" readingOrder="2"/>
    </xf>
    <xf numFmtId="0" fontId="0" fillId="0" borderId="0" xfId="0"/>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indent="1" readingOrder="2"/>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xf>
    <xf numFmtId="3" fontId="7" fillId="2" borderId="1" xfId="5" applyNumberFormat="1" applyFont="1" applyFill="1" applyBorder="1" applyAlignment="1">
      <alignment horizontal="center" vertical="center" wrapText="1" readingOrder="1"/>
    </xf>
    <xf numFmtId="0" fontId="6" fillId="2" borderId="1" xfId="0" applyFont="1" applyFill="1" applyBorder="1" applyAlignment="1">
      <alignment vertical="center" wrapText="1" readingOrder="2"/>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0" fontId="6" fillId="0" borderId="1" xfId="0" applyFont="1" applyBorder="1" applyAlignment="1">
      <alignment horizontal="right" vertical="center" wrapText="1" indent="1" readingOrder="2"/>
    </xf>
    <xf numFmtId="0" fontId="6" fillId="0" borderId="1" xfId="0" applyFont="1" applyFill="1" applyBorder="1" applyAlignment="1">
      <alignment horizontal="right" vertical="center" wrapText="1" indent="1"/>
    </xf>
    <xf numFmtId="0" fontId="0" fillId="0" borderId="0" xfId="0"/>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indent="1" readingOrder="2"/>
    </xf>
    <xf numFmtId="0" fontId="23"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inden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center" vertical="center" wrapText="1" readingOrder="2"/>
    </xf>
    <xf numFmtId="0" fontId="7" fillId="2" borderId="1" xfId="0" applyFont="1" applyFill="1" applyBorder="1" applyAlignment="1">
      <alignment horizontal="right" vertical="center" wrapText="1" inden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6" fillId="0" borderId="1" xfId="0" applyFont="1" applyFill="1" applyBorder="1" applyAlignment="1">
      <alignment horizontal="right" vertical="top" indent="1"/>
    </xf>
    <xf numFmtId="3" fontId="6" fillId="0" borderId="1" xfId="5" applyNumberFormat="1" applyFont="1" applyFill="1" applyBorder="1" applyAlignment="1">
      <alignment horizontal="left" vertical="center" wrapText="1" readingOrder="1"/>
    </xf>
    <xf numFmtId="0" fontId="6" fillId="2" borderId="0" xfId="0" applyFont="1" applyFill="1" applyBorder="1" applyAlignment="1">
      <alignment horizontal="center" vertical="center" wrapText="1" readingOrder="2"/>
    </xf>
    <xf numFmtId="0" fontId="6" fillId="0" borderId="1" xfId="0" applyFont="1" applyFill="1" applyBorder="1" applyAlignment="1">
      <alignment horizontal="center"/>
    </xf>
    <xf numFmtId="3"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right" vertical="center" wrapText="1" indent="1" readingOrder="2"/>
    </xf>
    <xf numFmtId="0" fontId="6" fillId="0" borderId="1" xfId="0" applyFont="1" applyFill="1" applyBorder="1"/>
    <xf numFmtId="0" fontId="6" fillId="0" borderId="1" xfId="0" applyFont="1" applyFill="1" applyBorder="1" applyAlignment="1"/>
    <xf numFmtId="9" fontId="7" fillId="0" borderId="1" xfId="4" applyFont="1" applyFill="1" applyBorder="1" applyAlignment="1">
      <alignment horizontal="center" vertical="center" wrapText="1" readingOrder="2"/>
    </xf>
    <xf numFmtId="0" fontId="7" fillId="0" borderId="1" xfId="0" applyFont="1" applyFill="1" applyBorder="1" applyAlignment="1">
      <alignment horizontal="right" vertical="center"/>
    </xf>
    <xf numFmtId="0" fontId="7" fillId="0" borderId="1" xfId="0" applyFont="1" applyFill="1" applyBorder="1" applyAlignment="1">
      <alignment readingOrder="2"/>
    </xf>
    <xf numFmtId="0" fontId="7" fillId="0" borderId="1" xfId="0" applyFont="1" applyFill="1" applyBorder="1" applyAlignment="1">
      <alignment horizontal="right"/>
    </xf>
    <xf numFmtId="0" fontId="7" fillId="0" borderId="1" xfId="0" applyFont="1" applyFill="1" applyBorder="1" applyAlignment="1">
      <alignment horizontal="right" vertical="center" readingOrder="2"/>
    </xf>
    <xf numFmtId="3" fontId="7" fillId="0" borderId="1" xfId="5" applyNumberFormat="1" applyFont="1" applyFill="1" applyBorder="1" applyAlignment="1">
      <alignment horizontal="left" vertical="center" indent="1"/>
    </xf>
    <xf numFmtId="3" fontId="7" fillId="0" borderId="1" xfId="0" applyNumberFormat="1" applyFont="1" applyFill="1" applyBorder="1" applyAlignment="1">
      <alignment horizontal="left" vertical="center" indent="1"/>
    </xf>
    <xf numFmtId="3" fontId="7"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right" vertical="center" wrapText="1"/>
    </xf>
    <xf numFmtId="0" fontId="6" fillId="0" borderId="2" xfId="0" applyFont="1" applyFill="1" applyBorder="1" applyAlignment="1">
      <alignment vertical="center" wrapText="1" readingOrder="2"/>
    </xf>
    <xf numFmtId="0" fontId="6" fillId="0" borderId="1" xfId="0" applyFont="1" applyBorder="1" applyAlignment="1">
      <alignment horizontal="right" vertical="center"/>
    </xf>
    <xf numFmtId="0" fontId="6" fillId="2" borderId="1" xfId="0" applyFont="1" applyFill="1" applyBorder="1"/>
    <xf numFmtId="0" fontId="6" fillId="0" borderId="1" xfId="0" applyFont="1" applyFill="1" applyBorder="1" applyAlignment="1">
      <alignment horizontal="right" wrapText="1"/>
    </xf>
    <xf numFmtId="0" fontId="10" fillId="0" borderId="0" xfId="0" applyFont="1" applyBorder="1"/>
    <xf numFmtId="0" fontId="6" fillId="0" borderId="1" xfId="0" applyFont="1" applyBorder="1" applyAlignment="1">
      <alignment vertical="center"/>
    </xf>
    <xf numFmtId="0" fontId="6" fillId="0" borderId="1" xfId="0" applyFont="1" applyBorder="1" applyAlignment="1">
      <alignment horizontal="right" vertical="center" wrapText="1" inden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xf>
    <xf numFmtId="0" fontId="6" fillId="0" borderId="1" xfId="0" applyFont="1" applyFill="1" applyBorder="1" applyAlignment="1">
      <alignment horizontal="right" vertical="center" wrapText="1" indent="2"/>
    </xf>
    <xf numFmtId="9" fontId="6" fillId="2" borderId="1" xfId="0" applyNumberFormat="1" applyFont="1" applyFill="1" applyBorder="1" applyAlignment="1">
      <alignment horizontal="right" vertical="center" wrapText="1" readingOrder="2"/>
    </xf>
    <xf numFmtId="0" fontId="6" fillId="0" borderId="1" xfId="0" applyFont="1" applyFill="1" applyBorder="1" applyAlignment="1">
      <alignment horizontal="right" vertical="center" wrapText="1" indent="2" readingOrder="2"/>
    </xf>
    <xf numFmtId="0" fontId="23"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readingOrder="2"/>
    </xf>
    <xf numFmtId="0" fontId="23" fillId="2" borderId="1" xfId="0" applyFont="1" applyFill="1" applyBorder="1" applyAlignment="1">
      <alignment horizontal="center"/>
    </xf>
    <xf numFmtId="0" fontId="23" fillId="0" borderId="1" xfId="0" applyFont="1" applyBorder="1" applyAlignment="1">
      <alignment horizontal="center" vertical="center"/>
    </xf>
    <xf numFmtId="0" fontId="23" fillId="2" borderId="1" xfId="0" applyNumberFormat="1" applyFont="1" applyFill="1" applyBorder="1" applyAlignment="1">
      <alignment horizontal="right" vertical="center" wrapText="1" readingOrder="2"/>
    </xf>
    <xf numFmtId="0" fontId="28" fillId="2" borderId="1" xfId="0" applyFont="1" applyFill="1" applyBorder="1" applyAlignment="1">
      <alignment horizontal="right" vertical="center" wrapText="1" readingOrder="2"/>
    </xf>
    <xf numFmtId="0" fontId="6" fillId="0" borderId="1" xfId="0" applyFont="1" applyFill="1" applyBorder="1" applyAlignment="1">
      <alignment horizontal="center" vertical="center" readingOrder="2"/>
    </xf>
    <xf numFmtId="0" fontId="12" fillId="0" borderId="0" xfId="0" applyFont="1"/>
    <xf numFmtId="0" fontId="6" fillId="0" borderId="0" xfId="0" applyFont="1" applyFill="1" applyBorder="1"/>
    <xf numFmtId="0" fontId="6" fillId="0" borderId="0" xfId="0" applyFont="1" applyBorder="1" applyAlignment="1">
      <alignment wrapText="1"/>
    </xf>
    <xf numFmtId="0" fontId="6" fillId="0" borderId="1" xfId="0" applyFont="1" applyBorder="1" applyAlignment="1">
      <alignment wrapText="1"/>
    </xf>
    <xf numFmtId="0" fontId="6" fillId="5" borderId="0" xfId="0" applyFont="1" applyFill="1"/>
    <xf numFmtId="0" fontId="10" fillId="2" borderId="1" xfId="0" applyFont="1" applyFill="1" applyBorder="1" applyAlignment="1">
      <alignment vertical="center" wrapText="1" readingOrder="2"/>
    </xf>
    <xf numFmtId="0" fontId="10" fillId="0" borderId="0" xfId="0" applyFont="1" applyBorder="1" applyAlignment="1">
      <alignment wrapText="1"/>
    </xf>
    <xf numFmtId="0" fontId="10" fillId="0" borderId="0" xfId="0" applyFont="1" applyBorder="1" applyAlignment="1">
      <alignment vertical="top" wrapText="1"/>
    </xf>
    <xf numFmtId="0" fontId="6" fillId="0" borderId="1" xfId="0" applyFont="1" applyFill="1" applyBorder="1" applyAlignment="1">
      <alignment vertical="center" readingOrder="2"/>
    </xf>
    <xf numFmtId="0" fontId="0" fillId="2" borderId="1" xfId="0" applyFill="1" applyBorder="1" applyAlignment="1">
      <alignment wrapText="1"/>
    </xf>
    <xf numFmtId="0" fontId="0" fillId="0" borderId="1" xfId="0" applyFill="1" applyBorder="1" applyAlignment="1">
      <alignment wrapText="1"/>
    </xf>
    <xf numFmtId="9" fontId="6" fillId="2" borderId="1" xfId="4" applyFont="1" applyFill="1" applyBorder="1" applyAlignment="1">
      <alignment vertical="center" wrapText="1"/>
    </xf>
    <xf numFmtId="0" fontId="0" fillId="0" borderId="1" xfId="0" applyFill="1" applyBorder="1" applyAlignment="1">
      <alignment horizontal="right" wrapText="1"/>
    </xf>
    <xf numFmtId="0" fontId="6" fillId="2" borderId="3" xfId="0" applyFont="1" applyFill="1" applyBorder="1" applyAlignment="1">
      <alignment horizontal="center" vertical="center" wrapText="1" readingOrder="2"/>
    </xf>
    <xf numFmtId="0" fontId="6" fillId="0" borderId="1" xfId="0" applyFont="1" applyFill="1" applyBorder="1" applyAlignment="1">
      <alignment vertical="top"/>
    </xf>
    <xf numFmtId="3" fontId="3" fillId="0" borderId="1" xfId="5" applyNumberFormat="1" applyFont="1" applyFill="1" applyBorder="1" applyAlignment="1">
      <alignment horizontal="center" vertical="center"/>
    </xf>
    <xf numFmtId="0" fontId="0" fillId="0" borderId="1" xfId="0" applyFont="1" applyFill="1" applyBorder="1" applyAlignment="1">
      <alignment horizontal="right" vertical="center" wrapText="1" indent="1"/>
    </xf>
    <xf numFmtId="166" fontId="3" fillId="0" borderId="1" xfId="5"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xf>
    <xf numFmtId="0" fontId="0" fillId="0" borderId="1" xfId="0" applyFill="1" applyBorder="1" applyAlignment="1">
      <alignment horizontal="right" vertical="center" wrapText="1" indent="1"/>
    </xf>
    <xf numFmtId="0" fontId="6" fillId="0" borderId="1" xfId="0" applyFont="1" applyFill="1" applyBorder="1" applyAlignment="1">
      <alignment wrapText="1"/>
    </xf>
    <xf numFmtId="9" fontId="6" fillId="0" borderId="1" xfId="0" applyNumberFormat="1" applyFont="1" applyFill="1" applyBorder="1" applyAlignment="1">
      <alignment horizontal="righ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readingOrder="2"/>
    </xf>
    <xf numFmtId="9" fontId="7" fillId="2" borderId="1" xfId="4" applyFont="1" applyFill="1" applyBorder="1" applyAlignment="1">
      <alignment horizontal="center" vertical="center" wrapText="1" readingOrder="2"/>
    </xf>
    <xf numFmtId="0" fontId="7" fillId="0" borderId="0" xfId="0" applyFont="1"/>
    <xf numFmtId="0" fontId="15" fillId="0" borderId="1" xfId="0" applyFont="1" applyBorder="1" applyAlignment="1">
      <alignment horizontal="center" vertical="center" wrapText="1" readingOrder="2"/>
    </xf>
    <xf numFmtId="0" fontId="15" fillId="0" borderId="1" xfId="0" applyFont="1" applyFill="1" applyBorder="1" applyAlignment="1">
      <alignment horizontal="center" vertical="center" wrapText="1"/>
    </xf>
    <xf numFmtId="0" fontId="6" fillId="0" borderId="1" xfId="0" applyFont="1" applyFill="1" applyBorder="1" applyAlignment="1">
      <alignment horizontal="center" readingOrder="2"/>
    </xf>
    <xf numFmtId="0" fontId="6" fillId="0" borderId="1" xfId="0" applyFont="1" applyFill="1" applyBorder="1" applyAlignment="1">
      <alignment horizontal="right" vertical="center" readingOrder="2"/>
    </xf>
    <xf numFmtId="0" fontId="6" fillId="0" borderId="1" xfId="0" applyFont="1" applyFill="1" applyBorder="1" applyAlignment="1">
      <alignment vertical="top" wrapText="1" readingOrder="2"/>
    </xf>
    <xf numFmtId="3" fontId="17" fillId="2" borderId="1" xfId="5" applyNumberFormat="1" applyFont="1" applyFill="1" applyBorder="1" applyAlignment="1">
      <alignment horizontal="center" vertical="center"/>
    </xf>
    <xf numFmtId="166" fontId="17" fillId="2" borderId="1" xfId="5" applyNumberFormat="1" applyFont="1" applyFill="1" applyBorder="1" applyAlignment="1" applyProtection="1">
      <alignment horizontal="center" vertical="center" wrapText="1"/>
      <protection locked="0"/>
    </xf>
    <xf numFmtId="0" fontId="17" fillId="0" borderId="1" xfId="0" applyFont="1" applyFill="1" applyBorder="1" applyAlignment="1">
      <alignment horizontal="right" wrapText="1" indent="1"/>
    </xf>
    <xf numFmtId="3" fontId="17" fillId="2" borderId="1" xfId="0" applyNumberFormat="1" applyFont="1" applyFill="1" applyBorder="1" applyAlignment="1">
      <alignment horizontal="center" vertical="center"/>
    </xf>
    <xf numFmtId="0" fontId="15" fillId="0"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0" fontId="6" fillId="0" borderId="1" xfId="0" applyFont="1" applyFill="1" applyBorder="1" applyAlignment="1">
      <alignment vertical="center" wrapText="1" readingOrder="2"/>
    </xf>
    <xf numFmtId="0" fontId="7" fillId="2" borderId="1" xfId="0" applyFont="1" applyFill="1" applyBorder="1" applyAlignment="1">
      <alignment horizontal="center" vertical="center" wrapText="1" readingOrder="2"/>
    </xf>
    <xf numFmtId="0" fontId="0" fillId="0" borderId="0" xfId="0"/>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readingOrder="2"/>
    </xf>
    <xf numFmtId="0" fontId="6" fillId="0" borderId="1" xfId="0" applyFont="1" applyFill="1" applyBorder="1" applyAlignment="1">
      <alignment vertical="center" wrapText="1" readingOrder="2"/>
    </xf>
    <xf numFmtId="0" fontId="6" fillId="0" borderId="1" xfId="0" applyFont="1" applyBorder="1" applyAlignment="1">
      <alignment horizontal="right" vertical="center" wrapText="1" indent="1" readingOrder="2"/>
    </xf>
    <xf numFmtId="0" fontId="0" fillId="0" borderId="0" xfId="0"/>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right" vertical="center" wrapText="1" indent="2"/>
    </xf>
    <xf numFmtId="0" fontId="6" fillId="0" borderId="1" xfId="0" applyFont="1" applyBorder="1" applyAlignment="1">
      <alignment horizontal="right" vertical="center" wrapText="1" indent="2"/>
    </xf>
    <xf numFmtId="0" fontId="6" fillId="0" borderId="1" xfId="0" applyFont="1" applyBorder="1" applyAlignment="1"/>
    <xf numFmtId="0" fontId="30" fillId="0" borderId="1" xfId="0" applyFont="1" applyBorder="1" applyAlignment="1">
      <alignment horizontal="center" vertical="center" wrapText="1"/>
    </xf>
    <xf numFmtId="3" fontId="6" fillId="0" borderId="1" xfId="5" applyNumberFormat="1" applyFont="1" applyFill="1" applyBorder="1" applyAlignment="1">
      <alignment vertical="center" readingOrder="1"/>
    </xf>
    <xf numFmtId="9" fontId="6" fillId="0" borderId="1" xfId="0" applyNumberFormat="1" applyFont="1" applyBorder="1" applyAlignment="1">
      <alignment vertical="center" wrapText="1" readingOrder="1"/>
    </xf>
    <xf numFmtId="0" fontId="6" fillId="0" borderId="1" xfId="0" applyFont="1" applyBorder="1" applyAlignment="1">
      <alignment horizontal="right" vertical="center" readingOrder="2"/>
    </xf>
    <xf numFmtId="167" fontId="6" fillId="0" borderId="1" xfId="5" applyNumberFormat="1" applyFont="1" applyFill="1" applyBorder="1" applyAlignment="1">
      <alignment horizontal="center" vertical="center" readingOrder="1"/>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0" fontId="6" fillId="0" borderId="1" xfId="0" applyFont="1" applyFill="1" applyBorder="1" applyAlignment="1">
      <alignment vertical="center" wrapText="1" readingOrder="2"/>
    </xf>
    <xf numFmtId="0" fontId="6" fillId="2" borderId="1" xfId="0" applyFont="1" applyFill="1" applyBorder="1" applyAlignment="1">
      <alignment vertical="center" wrapText="1" readingOrder="2"/>
    </xf>
    <xf numFmtId="0" fontId="0" fillId="0" borderId="0" xfId="0"/>
    <xf numFmtId="0" fontId="6" fillId="0" borderId="1" xfId="0" applyFont="1" applyFill="1" applyBorder="1" applyAlignment="1">
      <alignment horizontal="right" vertical="center" wrapText="1" indent="1"/>
    </xf>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23" fillId="2" borderId="1" xfId="0" applyFont="1" applyFill="1" applyBorder="1" applyAlignment="1">
      <alignment horizontal="center" vertical="center" wrapText="1" readingOrder="2"/>
    </xf>
    <xf numFmtId="0" fontId="27"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2"/>
    </xf>
    <xf numFmtId="0" fontId="7" fillId="2" borderId="1" xfId="0" applyFont="1" applyFill="1" applyBorder="1" applyAlignment="1">
      <alignment horizontal="center" vertical="center" wrapText="1" readingOrder="2"/>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2"/>
    </xf>
    <xf numFmtId="0" fontId="0" fillId="0" borderId="1" xfId="0" applyBorder="1"/>
    <xf numFmtId="0" fontId="6" fillId="0" borderId="1" xfId="7" applyFont="1" applyFill="1" applyBorder="1" applyAlignment="1">
      <alignment horizontal="right" vertical="center" wrapText="1" readingOrder="2"/>
    </xf>
    <xf numFmtId="0" fontId="5" fillId="0" borderId="1" xfId="0" applyFont="1" applyFill="1" applyBorder="1" applyAlignment="1">
      <alignment vertical="center" wrapText="1"/>
    </xf>
    <xf numFmtId="2" fontId="6" fillId="0" borderId="1" xfId="0" applyNumberFormat="1" applyFont="1" applyFill="1" applyBorder="1" applyAlignment="1">
      <alignment horizontal="right" vertical="center" wrapText="1" readingOrder="2"/>
    </xf>
    <xf numFmtId="0" fontId="7" fillId="0" borderId="1" xfId="0" applyFont="1" applyFill="1" applyBorder="1" applyAlignment="1">
      <alignment vertical="center" readingOrder="2"/>
    </xf>
    <xf numFmtId="2" fontId="7" fillId="0" borderId="1" xfId="0" applyNumberFormat="1" applyFont="1" applyFill="1" applyBorder="1" applyAlignment="1">
      <alignment vertical="center" wrapText="1" readingOrder="2"/>
    </xf>
    <xf numFmtId="3" fontId="6" fillId="0"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wrapText="1"/>
    </xf>
    <xf numFmtId="0" fontId="0" fillId="0" borderId="1" xfId="0" applyBorder="1" applyAlignment="1">
      <alignment wrapText="1"/>
    </xf>
    <xf numFmtId="0" fontId="25" fillId="2" borderId="1" xfId="0" applyFont="1" applyFill="1" applyBorder="1" applyAlignment="1">
      <alignment horizontal="center" vertical="center" wrapText="1" readingOrder="2"/>
    </xf>
    <xf numFmtId="9" fontId="5" fillId="2" borderId="1" xfId="4" applyFont="1" applyFill="1" applyBorder="1" applyAlignment="1">
      <alignment horizontal="center" vertical="center" wrapText="1"/>
    </xf>
    <xf numFmtId="0" fontId="5" fillId="2" borderId="10" xfId="0" applyFont="1" applyFill="1" applyBorder="1" applyAlignment="1">
      <alignment horizontal="right" vertical="center" wrapText="1" indent="2"/>
    </xf>
    <xf numFmtId="0" fontId="0" fillId="0" borderId="10" xfId="0" applyBorder="1"/>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6" fillId="2" borderId="0" xfId="0" applyFont="1" applyFill="1"/>
    <xf numFmtId="0" fontId="6" fillId="2" borderId="10" xfId="0" applyFont="1" applyFill="1" applyBorder="1" applyAlignment="1">
      <alignment horizontal="center" wrapText="1" readingOrder="2"/>
    </xf>
    <xf numFmtId="0" fontId="5" fillId="2" borderId="1" xfId="0" applyFont="1" applyFill="1" applyBorder="1" applyAlignment="1">
      <alignment vertical="center" wrapText="1" readingOrder="2"/>
    </xf>
    <xf numFmtId="2" fontId="6" fillId="2" borderId="1" xfId="0" applyNumberFormat="1" applyFont="1" applyFill="1" applyBorder="1" applyAlignment="1">
      <alignment vertical="center" wrapText="1" readingOrder="2"/>
    </xf>
    <xf numFmtId="0" fontId="4" fillId="2" borderId="0" xfId="0" applyFont="1" applyFill="1"/>
    <xf numFmtId="0" fontId="0" fillId="0" borderId="1" xfId="0" applyFill="1" applyBorder="1"/>
    <xf numFmtId="2" fontId="6" fillId="0" borderId="1" xfId="0" applyNumberFormat="1" applyFont="1" applyFill="1" applyBorder="1" applyAlignment="1">
      <alignment horizontal="right" vertical="center" wrapText="1"/>
    </xf>
    <xf numFmtId="0" fontId="15" fillId="2" borderId="1" xfId="0" applyFont="1" applyFill="1" applyBorder="1" applyAlignment="1">
      <alignment horizontal="center" vertical="center" wrapText="1" readingOrder="2"/>
    </xf>
    <xf numFmtId="0" fontId="33"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right" vertical="center" wrapText="1" readingOrder="2"/>
    </xf>
    <xf numFmtId="0" fontId="14" fillId="2" borderId="1" xfId="0" applyFont="1" applyFill="1" applyBorder="1" applyAlignment="1">
      <alignment horizontal="center" vertical="center" wrapText="1"/>
    </xf>
    <xf numFmtId="0" fontId="14" fillId="2" borderId="1" xfId="0" applyFont="1" applyFill="1" applyBorder="1" applyAlignment="1">
      <alignment horizontal="right" vertical="center" wrapText="1" readingOrder="2"/>
    </xf>
    <xf numFmtId="3" fontId="14" fillId="2" borderId="1" xfId="5" applyNumberFormat="1" applyFont="1" applyFill="1" applyBorder="1" applyAlignment="1">
      <alignment horizontal="center" vertical="center" readingOrder="1"/>
    </xf>
    <xf numFmtId="9" fontId="14" fillId="2" borderId="1" xfId="4" applyFont="1" applyFill="1" applyBorder="1" applyAlignment="1">
      <alignment horizontal="center" vertical="center" wrapText="1"/>
    </xf>
    <xf numFmtId="0" fontId="20" fillId="2" borderId="1" xfId="0" applyFont="1" applyFill="1" applyBorder="1" applyAlignment="1">
      <alignment horizontal="right" vertical="center" wrapText="1" readingOrder="2"/>
    </xf>
    <xf numFmtId="9" fontId="6" fillId="2" borderId="1" xfId="0" applyNumberFormat="1" applyFont="1" applyFill="1" applyBorder="1" applyAlignment="1">
      <alignment horizontal="center" vertical="center" readingOrder="2"/>
    </xf>
    <xf numFmtId="0" fontId="6" fillId="2" borderId="1" xfId="0" applyFont="1" applyFill="1" applyBorder="1" applyAlignment="1">
      <alignment horizontal="right" readingOrder="2"/>
    </xf>
    <xf numFmtId="0" fontId="6" fillId="2" borderId="1" xfId="0" applyFont="1" applyFill="1" applyBorder="1" applyAlignment="1">
      <alignment horizontal="right" vertical="center" wrapText="1"/>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wrapText="1" readingOrder="2"/>
    </xf>
    <xf numFmtId="0" fontId="0" fillId="0" borderId="0" xfId="0"/>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6" fillId="2" borderId="1" xfId="0" applyFont="1" applyFill="1" applyBorder="1" applyAlignment="1">
      <alignment horizontal="right" vertical="center" wrapText="1" indent="1" readingOrder="2"/>
    </xf>
    <xf numFmtId="0" fontId="6" fillId="2" borderId="1" xfId="0" applyFont="1" applyFill="1" applyBorder="1" applyAlignment="1">
      <alignment horizontal="right" vertical="center" wrapText="1"/>
    </xf>
    <xf numFmtId="0" fontId="6" fillId="2" borderId="1" xfId="0" applyFont="1" applyFill="1" applyBorder="1" applyAlignment="1">
      <alignment horizontal="right" vertical="center" wrapText="1" indent="1"/>
    </xf>
    <xf numFmtId="0" fontId="6" fillId="2" borderId="1" xfId="0" applyFont="1" applyFill="1" applyBorder="1" applyAlignment="1">
      <alignment vertical="center" wrapText="1"/>
    </xf>
    <xf numFmtId="165" fontId="7" fillId="2" borderId="1" xfId="2" applyNumberFormat="1" applyFont="1" applyFill="1" applyBorder="1" applyAlignment="1">
      <alignment vertical="center" wrapText="1"/>
    </xf>
    <xf numFmtId="166" fontId="7" fillId="2" borderId="1" xfId="5" applyNumberFormat="1" applyFont="1" applyFill="1" applyBorder="1" applyAlignment="1">
      <alignment horizontal="center" vertical="center" wrapText="1"/>
    </xf>
    <xf numFmtId="0" fontId="6" fillId="0" borderId="1" xfId="0" applyFont="1" applyFill="1" applyBorder="1" applyAlignment="1">
      <alignment vertical="center" wrapText="1" readingOrder="2"/>
    </xf>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xf>
    <xf numFmtId="3" fontId="6" fillId="2" borderId="1" xfId="5" applyNumberFormat="1" applyFont="1" applyFill="1" applyBorder="1" applyAlignment="1">
      <alignment horizontal="center" vertical="center" readingOrder="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vertical="center" wrapText="1" readingOrder="2"/>
    </xf>
    <xf numFmtId="3" fontId="6" fillId="2" borderId="1" xfId="5" applyNumberFormat="1" applyFont="1" applyFill="1" applyBorder="1" applyAlignment="1">
      <alignment horizontal="center" vertical="center" readingOrder="1"/>
    </xf>
    <xf numFmtId="0" fontId="6" fillId="2" borderId="1" xfId="0" applyFont="1" applyFill="1" applyBorder="1" applyAlignment="1">
      <alignment horizontal="right" vertical="center" wrapText="1" readingOrder="2"/>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0" fillId="0" borderId="1" xfId="0" applyBorder="1" applyAlignment="1">
      <alignment vertical="center" wrapText="1"/>
    </xf>
    <xf numFmtId="9" fontId="7" fillId="0" borderId="1" xfId="4" applyFont="1" applyFill="1" applyBorder="1" applyAlignment="1">
      <alignment vertical="center" wrapText="1" readingOrder="2"/>
    </xf>
    <xf numFmtId="0" fontId="7" fillId="0" borderId="1" xfId="0" applyFont="1" applyFill="1" applyBorder="1" applyAlignment="1">
      <alignment wrapText="1" readingOrder="2"/>
    </xf>
    <xf numFmtId="3" fontId="6" fillId="2" borderId="1" xfId="5" applyNumberFormat="1" applyFont="1" applyFill="1" applyBorder="1" applyAlignment="1">
      <alignment horizontal="center" vertical="center" wrapText="1" readingOrder="1"/>
    </xf>
    <xf numFmtId="0" fontId="6" fillId="2" borderId="1" xfId="0" applyFont="1" applyFill="1" applyBorder="1" applyAlignment="1">
      <alignment vertical="center" wrapText="1" readingOrder="2"/>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indent="1" readingOrder="2"/>
    </xf>
    <xf numFmtId="0" fontId="6" fillId="2" borderId="1"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9" fontId="6" fillId="0" borderId="1" xfId="4" applyFont="1" applyFill="1" applyBorder="1" applyAlignment="1">
      <alignment horizontal="left" vertical="center" wrapText="1" indent="1" readingOrder="1"/>
    </xf>
    <xf numFmtId="3"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xf>
    <xf numFmtId="9" fontId="6" fillId="0" borderId="1" xfId="0" applyNumberFormat="1" applyFont="1" applyFill="1" applyBorder="1" applyAlignment="1">
      <alignment vertical="center" wrapText="1" readingOrder="2"/>
    </xf>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3" fontId="6" fillId="2" borderId="1" xfId="5" applyNumberFormat="1"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2"/>
    </xf>
    <xf numFmtId="0" fontId="6" fillId="2" borderId="1" xfId="0" applyFont="1" applyFill="1" applyBorder="1" applyAlignment="1">
      <alignment vertical="center" wrapText="1" readingOrder="2"/>
    </xf>
    <xf numFmtId="0" fontId="7" fillId="2" borderId="1" xfId="0" applyFont="1" applyFill="1" applyBorder="1" applyAlignment="1">
      <alignment horizontal="center" vertical="center" wrapText="1" readingOrder="2"/>
    </xf>
    <xf numFmtId="3" fontId="6" fillId="2" borderId="1" xfId="5" applyNumberFormat="1" applyFont="1" applyFill="1" applyBorder="1" applyAlignment="1">
      <alignment horizontal="center" vertical="center" readingOrder="1"/>
    </xf>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6" fillId="2" borderId="1" xfId="0" applyFont="1" applyFill="1" applyBorder="1" applyAlignment="1">
      <alignment horizontal="right" vertical="center" wrapText="1" indent="1" readingOrder="2"/>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3" fillId="0" borderId="1" xfId="0" applyFont="1" applyFill="1" applyBorder="1" applyAlignment="1">
      <alignment horizontal="righ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readingOrder="2"/>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9" fontId="7" fillId="0" borderId="1" xfId="0" applyNumberFormat="1" applyFont="1" applyFill="1" applyBorder="1" applyAlignment="1">
      <alignment horizontal="center" vertical="center"/>
    </xf>
    <xf numFmtId="0" fontId="7" fillId="0" borderId="1" xfId="0" applyFont="1" applyFill="1" applyBorder="1" applyAlignment="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right" vertical="center" wrapText="1" readingOrder="2"/>
    </xf>
    <xf numFmtId="0" fontId="6" fillId="2" borderId="1" xfId="0" applyFont="1" applyFill="1" applyBorder="1" applyAlignment="1">
      <alignment vertical="center" wrapText="1" readingOrder="2"/>
    </xf>
    <xf numFmtId="0" fontId="6" fillId="2" borderId="1" xfId="0" applyFont="1" applyFill="1" applyBorder="1" applyAlignment="1">
      <alignment vertical="center" wrapText="1"/>
    </xf>
    <xf numFmtId="0" fontId="7"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xf>
    <xf numFmtId="0" fontId="6" fillId="2" borderId="1" xfId="0" applyFont="1" applyFill="1" applyBorder="1" applyAlignment="1">
      <alignment vertical="center" wrapText="1" readingOrder="2"/>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6" fillId="2" borderId="1" xfId="0" applyFont="1" applyFill="1" applyBorder="1" applyAlignment="1">
      <alignment horizontal="right" vertical="center" wrapText="1"/>
    </xf>
    <xf numFmtId="0" fontId="7" fillId="2" borderId="1" xfId="0" applyFont="1" applyFill="1" applyBorder="1" applyAlignment="1">
      <alignment horizontal="center" vertical="center" wrapText="1" readingOrder="2"/>
    </xf>
    <xf numFmtId="0" fontId="7" fillId="2" borderId="1" xfId="0" applyFont="1" applyFill="1" applyBorder="1" applyAlignment="1">
      <alignment horizontal="center" vertical="center" wrapText="1" readingOrder="2"/>
    </xf>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vertical="center" wrapText="1" readingOrder="2"/>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2"/>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0" fontId="6" fillId="0" borderId="1" xfId="0" applyFont="1" applyBorder="1" applyAlignment="1">
      <alignment horizontal="right" vertical="center" wrapText="1" indent="1" readingOrder="2"/>
    </xf>
    <xf numFmtId="0" fontId="0" fillId="0" borderId="0" xfId="0"/>
    <xf numFmtId="0" fontId="6" fillId="0" borderId="1" xfId="0" applyFont="1" applyFill="1" applyBorder="1" applyAlignment="1">
      <alignment horizontal="right" vertical="center" wrapText="1" indent="1"/>
    </xf>
    <xf numFmtId="0" fontId="5" fillId="3" borderId="1" xfId="0" applyFont="1" applyFill="1" applyBorder="1" applyAlignment="1">
      <alignment horizontal="center" vertical="center" wrapText="1"/>
    </xf>
    <xf numFmtId="0" fontId="6" fillId="2" borderId="1" xfId="0" applyFont="1" applyFill="1" applyBorder="1" applyAlignment="1">
      <alignment horizontal="right" vertical="center" wrapText="1" readingOrder="2"/>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5" fillId="3" borderId="1" xfId="0" applyFont="1" applyFill="1" applyBorder="1" applyAlignment="1">
      <alignment horizontal="center" vertical="center" wrapText="1" readingOrder="2"/>
    </xf>
    <xf numFmtId="0" fontId="6" fillId="2" borderId="1" xfId="0" applyFont="1" applyFill="1" applyBorder="1" applyAlignment="1">
      <alignment vertical="center" wrapText="1" readingOrder="2"/>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readingOrder="2"/>
    </xf>
    <xf numFmtId="0" fontId="7" fillId="0" borderId="1" xfId="0" applyFont="1" applyFill="1" applyBorder="1" applyAlignment="1">
      <alignment horizontal="center" vertical="center" readingOrder="2"/>
    </xf>
    <xf numFmtId="0" fontId="8" fillId="3" borderId="1" xfId="0" applyFont="1" applyFill="1" applyBorder="1" applyAlignment="1">
      <alignment horizontal="center" vertical="center" wrapText="1"/>
    </xf>
    <xf numFmtId="0" fontId="6" fillId="2" borderId="1" xfId="0" applyFont="1" applyFill="1" applyBorder="1" applyAlignment="1">
      <alignment vertical="center" wrapText="1"/>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0" fontId="0" fillId="0" borderId="0" xfId="0"/>
    <xf numFmtId="0" fontId="6" fillId="2" borderId="1" xfId="0" applyFont="1" applyFill="1" applyBorder="1" applyAlignment="1">
      <alignment horizontal="right" vertical="center" wrapText="1" readingOrder="2"/>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vertical="center" wrapText="1" readingOrder="2"/>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2"/>
    </xf>
    <xf numFmtId="0" fontId="6" fillId="0" borderId="1" xfId="0" applyFont="1" applyFill="1" applyBorder="1" applyAlignment="1">
      <alignment horizontal="center" vertical="top" wrapText="1"/>
    </xf>
    <xf numFmtId="0" fontId="28" fillId="0" borderId="0" xfId="0" applyFont="1"/>
    <xf numFmtId="9" fontId="6" fillId="0" borderId="1" xfId="0" applyNumberFormat="1" applyFont="1" applyFill="1" applyBorder="1" applyAlignment="1">
      <alignment horizontal="right" vertical="top" wrapText="1" readingOrder="2"/>
    </xf>
    <xf numFmtId="3" fontId="6" fillId="0" borderId="1" xfId="0" applyNumberFormat="1" applyFont="1" applyFill="1" applyBorder="1" applyAlignment="1">
      <alignment horizontal="center" vertical="center" wrapText="1" readingOrder="2"/>
    </xf>
    <xf numFmtId="0" fontId="6" fillId="0" borderId="1" xfId="0" applyFont="1" applyFill="1" applyBorder="1" applyAlignment="1">
      <alignment horizontal="right" vertical="top" wrapText="1"/>
    </xf>
    <xf numFmtId="3" fontId="6" fillId="0" borderId="1" xfId="5" applyNumberFormat="1" applyFont="1" applyFill="1" applyBorder="1" applyAlignment="1">
      <alignment horizontal="right" vertical="center" readingOrder="2"/>
    </xf>
    <xf numFmtId="9" fontId="6" fillId="0" borderId="1" xfId="4" applyFont="1" applyFill="1" applyBorder="1" applyAlignment="1">
      <alignment horizontal="center" vertical="center" readingOrder="1"/>
    </xf>
    <xf numFmtId="0" fontId="6" fillId="0" borderId="1" xfId="0" applyFont="1" applyFill="1" applyBorder="1" applyAlignment="1">
      <alignment horizontal="center" wrapText="1"/>
    </xf>
    <xf numFmtId="0" fontId="6" fillId="0" borderId="1" xfId="0" applyFont="1" applyFill="1" applyBorder="1" applyAlignment="1">
      <alignment horizontal="right" vertical="top"/>
    </xf>
    <xf numFmtId="0" fontId="6" fillId="0" borderId="1" xfId="0" applyFont="1" applyFill="1" applyBorder="1" applyAlignment="1">
      <alignment vertical="top" wrapText="1"/>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9" fontId="27" fillId="0" borderId="1" xfId="4" applyFont="1" applyFill="1" applyBorder="1" applyAlignment="1">
      <alignment horizontal="center" vertical="center" wrapText="1"/>
    </xf>
    <xf numFmtId="0" fontId="23" fillId="0" borderId="1" xfId="0" applyFont="1" applyFill="1" applyBorder="1" applyAlignment="1">
      <alignment horizontal="center" vertical="center" readingOrder="2"/>
    </xf>
    <xf numFmtId="3" fontId="23" fillId="0" borderId="1" xfId="5" applyNumberFormat="1" applyFont="1" applyFill="1" applyBorder="1" applyAlignment="1">
      <alignment horizontal="center" vertical="center"/>
    </xf>
    <xf numFmtId="9" fontId="23" fillId="0" borderId="2" xfId="0" applyNumberFormat="1" applyFont="1" applyFill="1" applyBorder="1" applyAlignment="1">
      <alignment vertical="center" wrapText="1" readingOrder="2"/>
    </xf>
    <xf numFmtId="0" fontId="27" fillId="0" borderId="1" xfId="0" applyFont="1" applyFill="1" applyBorder="1" applyAlignment="1">
      <alignment horizontal="right" vertical="center" wrapText="1" readingOrder="2"/>
    </xf>
    <xf numFmtId="9" fontId="23" fillId="0" borderId="2" xfId="0" applyNumberFormat="1" applyFont="1" applyFill="1" applyBorder="1" applyAlignment="1">
      <alignment horizontal="right" vertical="center" wrapText="1" readingOrder="2"/>
    </xf>
    <xf numFmtId="0" fontId="23" fillId="0" borderId="1" xfId="0" applyFont="1" applyFill="1" applyBorder="1" applyAlignment="1">
      <alignment horizontal="right" vertical="top" wrapText="1"/>
    </xf>
    <xf numFmtId="0" fontId="27" fillId="0" borderId="1" xfId="0" applyFont="1" applyFill="1" applyBorder="1" applyAlignment="1">
      <alignment horizontal="right" vertical="center" wrapText="1"/>
    </xf>
    <xf numFmtId="0" fontId="23" fillId="0" borderId="1" xfId="0" applyFont="1" applyFill="1" applyBorder="1" applyAlignment="1">
      <alignment vertical="center" wrapText="1"/>
    </xf>
    <xf numFmtId="9" fontId="6" fillId="0" borderId="1" xfId="0" applyNumberFormat="1" applyFont="1" applyFill="1" applyBorder="1" applyAlignment="1">
      <alignment vertical="center" wrapText="1" readingOrder="1"/>
    </xf>
    <xf numFmtId="3" fontId="7" fillId="0" borderId="1" xfId="5"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9" fontId="6" fillId="0" borderId="0" xfId="4" applyFont="1" applyFill="1" applyAlignment="1">
      <alignment horizontal="center" vertical="center"/>
    </xf>
    <xf numFmtId="0" fontId="0" fillId="0" borderId="0" xfId="0" applyAlignment="1">
      <alignment wrapText="1"/>
    </xf>
    <xf numFmtId="1" fontId="0" fillId="0" borderId="0" xfId="0" applyNumberForma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34" fillId="0" borderId="0" xfId="0" applyFont="1" applyAlignment="1">
      <alignment vertical="center"/>
    </xf>
    <xf numFmtId="0" fontId="6" fillId="0" borderId="1" xfId="0" applyFont="1" applyBorder="1" applyAlignment="1">
      <alignment horizontal="right" wrapText="1"/>
    </xf>
    <xf numFmtId="1" fontId="6" fillId="0" borderId="1" xfId="5" applyNumberFormat="1" applyFont="1" applyFill="1" applyBorder="1" applyAlignment="1">
      <alignment horizontal="center" vertical="center" readingOrder="1"/>
    </xf>
    <xf numFmtId="1" fontId="6" fillId="2" borderId="1" xfId="5" applyNumberFormat="1" applyFont="1" applyFill="1" applyBorder="1" applyAlignment="1">
      <alignment horizontal="center" vertical="center" readingOrder="1"/>
    </xf>
    <xf numFmtId="0" fontId="7" fillId="2" borderId="1" xfId="0" applyFont="1" applyFill="1" applyBorder="1" applyAlignment="1">
      <alignment horizontal="left" vertical="center" wrapText="1"/>
    </xf>
    <xf numFmtId="3" fontId="10" fillId="0" borderId="1" xfId="5" applyNumberFormat="1" applyFont="1" applyFill="1" applyBorder="1" applyAlignment="1">
      <alignment horizontal="left" vertical="center" indent="1" readingOrder="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readingOrder="1"/>
    </xf>
    <xf numFmtId="9" fontId="6" fillId="2" borderId="1" xfId="0" applyNumberFormat="1" applyFont="1" applyFill="1" applyBorder="1" applyAlignment="1">
      <alignment horizontal="center" vertical="center" wrapText="1" readingOrder="1"/>
    </xf>
    <xf numFmtId="166" fontId="6" fillId="2" borderId="1" xfId="5" applyNumberFormat="1" applyFont="1" applyFill="1" applyBorder="1" applyAlignment="1">
      <alignment horizontal="center" vertical="center" wrapText="1" readingOrder="2"/>
    </xf>
    <xf numFmtId="9" fontId="6" fillId="0" borderId="1" xfId="0" applyNumberFormat="1" applyFont="1" applyBorder="1" applyAlignment="1">
      <alignment horizontal="center" vertical="center" wrapText="1" readingOrder="1"/>
    </xf>
    <xf numFmtId="164" fontId="7" fillId="2" borderId="1" xfId="0" applyNumberFormat="1" applyFont="1" applyFill="1" applyBorder="1" applyAlignment="1">
      <alignment horizontal="right" vertical="center" wrapText="1" readingOrder="2"/>
    </xf>
    <xf numFmtId="0" fontId="7" fillId="2" borderId="1" xfId="2" quotePrefix="1" applyFont="1" applyFill="1" applyBorder="1" applyAlignment="1">
      <alignment vertical="center" wrapText="1" readingOrder="2"/>
    </xf>
    <xf numFmtId="9" fontId="6" fillId="2" borderId="1" xfId="0" applyNumberFormat="1" applyFont="1" applyFill="1" applyBorder="1" applyAlignment="1">
      <alignment horizontal="right" vertical="center" wrapText="1" readingOrder="1"/>
    </xf>
    <xf numFmtId="0" fontId="0" fillId="0" borderId="1" xfId="0" applyBorder="1" applyAlignment="1">
      <alignment horizontal="right" vertical="center" wrapText="1"/>
    </xf>
    <xf numFmtId="0" fontId="5" fillId="2" borderId="1" xfId="0" applyFont="1" applyFill="1" applyBorder="1" applyAlignment="1">
      <alignment horizontal="right" wrapText="1"/>
    </xf>
    <xf numFmtId="0" fontId="12" fillId="0" borderId="1" xfId="0" applyFont="1" applyFill="1" applyBorder="1" applyAlignment="1">
      <alignment horizontal="right" wrapText="1" readingOrder="2"/>
    </xf>
    <xf numFmtId="0" fontId="0" fillId="0" borderId="0" xfId="0" applyFill="1" applyAlignment="1">
      <alignment horizontal="right" vertical="center"/>
    </xf>
    <xf numFmtId="0" fontId="6" fillId="2" borderId="1" xfId="0" applyFont="1" applyFill="1" applyBorder="1" applyAlignment="1">
      <alignment horizontal="right" vertical="center" wrapText="1" indent="1"/>
    </xf>
    <xf numFmtId="0" fontId="23" fillId="2" borderId="1" xfId="0" applyFont="1" applyFill="1" applyBorder="1" applyAlignment="1">
      <alignment horizontal="center" vertical="center" wrapText="1" readingOrder="2"/>
    </xf>
    <xf numFmtId="0" fontId="6" fillId="2" borderId="1" xfId="0" applyFont="1" applyFill="1" applyBorder="1" applyAlignment="1">
      <alignment vertical="center" wrapText="1" readingOrder="2"/>
    </xf>
    <xf numFmtId="0" fontId="6" fillId="0" borderId="1" xfId="0" applyFont="1" applyFill="1" applyBorder="1" applyAlignment="1">
      <alignment horizontal="center" vertical="center" wrapText="1"/>
    </xf>
    <xf numFmtId="0" fontId="6" fillId="2" borderId="0" xfId="0" applyFont="1" applyFill="1" applyAlignment="1">
      <alignment wrapText="1"/>
    </xf>
    <xf numFmtId="0" fontId="2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3" borderId="1" xfId="0" applyFont="1" applyFill="1" applyBorder="1" applyAlignment="1">
      <alignment horizontal="center" vertical="center"/>
    </xf>
    <xf numFmtId="3" fontId="6" fillId="0" borderId="2" xfId="5" applyNumberFormat="1" applyFont="1" applyFill="1" applyBorder="1" applyAlignment="1">
      <alignment horizontal="center" vertical="center" wrapText="1" readingOrder="1"/>
    </xf>
    <xf numFmtId="3" fontId="6" fillId="0" borderId="5" xfId="5" applyNumberFormat="1" applyFont="1" applyFill="1" applyBorder="1" applyAlignment="1">
      <alignment horizontal="center" vertical="center" wrapText="1" readingOrder="1"/>
    </xf>
    <xf numFmtId="3" fontId="6" fillId="0" borderId="3" xfId="5" applyNumberFormat="1" applyFont="1" applyFill="1" applyBorder="1" applyAlignment="1">
      <alignment horizontal="center" vertical="center" wrapText="1" readingOrder="1"/>
    </xf>
    <xf numFmtId="3" fontId="6" fillId="0" borderId="1" xfId="5" applyNumberFormat="1" applyFont="1" applyFill="1" applyBorder="1" applyAlignment="1">
      <alignment horizontal="center" vertical="center" wrapText="1" readingOrder="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indent="1"/>
    </xf>
    <xf numFmtId="0" fontId="13" fillId="0" borderId="0" xfId="0" applyFont="1" applyAlignment="1">
      <alignment horizont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3" borderId="1" xfId="0" applyFont="1" applyFill="1" applyBorder="1" applyAlignment="1">
      <alignment horizontal="right" vertical="center" wrapText="1"/>
    </xf>
    <xf numFmtId="9" fontId="5" fillId="3" borderId="1" xfId="4"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3" fontId="6" fillId="2" borderId="1" xfId="5" applyNumberFormat="1" applyFont="1" applyFill="1" applyBorder="1" applyAlignment="1">
      <alignment horizontal="center" vertical="center" readingOrder="1"/>
    </xf>
    <xf numFmtId="0" fontId="7" fillId="2" borderId="1" xfId="0" applyFont="1" applyFill="1" applyBorder="1" applyAlignment="1">
      <alignment horizontal="center" vertical="center" wrapText="1" readingOrder="2"/>
    </xf>
    <xf numFmtId="3" fontId="6" fillId="2" borderId="1" xfId="5" applyNumberFormat="1" applyFont="1" applyFill="1" applyBorder="1" applyAlignment="1">
      <alignment horizontal="center" vertical="center" wrapText="1" readingOrder="2"/>
    </xf>
    <xf numFmtId="0" fontId="6" fillId="0" borderId="1" xfId="0" applyFont="1" applyBorder="1" applyAlignment="1">
      <alignment horizontal="right" vertical="center" wrapText="1" indent="1" readingOrder="2"/>
    </xf>
    <xf numFmtId="0" fontId="8" fillId="3" borderId="1" xfId="0" applyFont="1" applyFill="1" applyBorder="1" applyAlignment="1">
      <alignment horizontal="center" vertical="center" wrapText="1" readingOrder="2"/>
    </xf>
    <xf numFmtId="0" fontId="8" fillId="3" borderId="2" xfId="0" applyFont="1" applyFill="1" applyBorder="1" applyAlignment="1">
      <alignment horizontal="center" vertical="center" wrapText="1" readingOrder="2"/>
    </xf>
    <xf numFmtId="0" fontId="8" fillId="3" borderId="3" xfId="0" applyFont="1" applyFill="1" applyBorder="1" applyAlignment="1">
      <alignment horizontal="center" vertical="center" wrapText="1" readingOrder="2"/>
    </xf>
    <xf numFmtId="0" fontId="0" fillId="0" borderId="0" xfId="0"/>
    <xf numFmtId="0" fontId="0" fillId="0" borderId="4" xfId="0" applyBorder="1"/>
    <xf numFmtId="0" fontId="6" fillId="0" borderId="1" xfId="0" applyFont="1" applyFill="1" applyBorder="1" applyAlignment="1">
      <alignment horizontal="right" vertical="center" wrapText="1" indent="1"/>
    </xf>
    <xf numFmtId="0" fontId="4" fillId="0" borderId="0" xfId="0" applyFont="1" applyAlignment="1">
      <alignment horizontal="center" wrapText="1"/>
    </xf>
    <xf numFmtId="0" fontId="4" fillId="0" borderId="0" xfId="0" applyFont="1" applyAlignment="1">
      <alignment horizontal="center"/>
    </xf>
    <xf numFmtId="0" fontId="4" fillId="0" borderId="4" xfId="0" applyFont="1" applyBorder="1" applyAlignment="1">
      <alignment horizontal="center"/>
    </xf>
    <xf numFmtId="0" fontId="5" fillId="3" borderId="1" xfId="0" applyFont="1" applyFill="1" applyBorder="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4" xfId="0" applyFont="1" applyFill="1" applyBorder="1" applyAlignment="1">
      <alignment horizontal="center" vertical="center"/>
    </xf>
    <xf numFmtId="9" fontId="8" fillId="3" borderId="1" xfId="4"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2" borderId="1" xfId="0" applyFont="1" applyFill="1" applyBorder="1" applyAlignment="1">
      <alignment horizontal="right" vertical="center" wrapText="1" readingOrder="2"/>
    </xf>
    <xf numFmtId="0" fontId="8" fillId="3" borderId="1" xfId="0" applyFont="1" applyFill="1" applyBorder="1" applyAlignment="1">
      <alignment horizontal="right" vertical="center" wrapText="1"/>
    </xf>
    <xf numFmtId="3" fontId="6" fillId="2" borderId="2"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right" vertical="center" wrapText="1" indent="1" readingOrder="2"/>
    </xf>
    <xf numFmtId="0" fontId="7" fillId="0"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3" fontId="6" fillId="0" borderId="2"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 fillId="2" borderId="10" xfId="0" applyFont="1" applyFill="1" applyBorder="1" applyAlignment="1">
      <alignment horizontal="right" vertical="center" wrapText="1" indent="2"/>
    </xf>
    <xf numFmtId="0" fontId="23" fillId="2" borderId="1" xfId="0" applyFont="1" applyFill="1" applyBorder="1" applyAlignment="1">
      <alignment horizontal="center" vertical="center" wrapText="1" readingOrder="2"/>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3" fillId="0" borderId="2" xfId="0" applyFont="1" applyBorder="1" applyAlignment="1">
      <alignment horizontal="center" vertical="center" wrapText="1" readingOrder="2"/>
    </xf>
    <xf numFmtId="0" fontId="23" fillId="0" borderId="3" xfId="0" applyFont="1" applyBorder="1" applyAlignment="1">
      <alignment horizontal="center" vertical="center" wrapText="1" readingOrder="2"/>
    </xf>
    <xf numFmtId="0" fontId="23" fillId="0" borderId="1" xfId="0" applyFont="1" applyFill="1" applyBorder="1" applyAlignment="1">
      <alignment horizontal="center" vertical="center" wrapText="1" readingOrder="2"/>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5" fillId="3" borderId="9" xfId="0" applyFont="1" applyFill="1" applyBorder="1" applyAlignment="1">
      <alignment horizontal="center" vertical="center" wrapText="1" readingOrder="2"/>
    </xf>
    <xf numFmtId="0" fontId="5" fillId="3" borderId="1" xfId="0" applyFont="1" applyFill="1" applyBorder="1" applyAlignment="1">
      <alignment horizontal="right" vertical="center" wrapText="1" readingOrder="2"/>
    </xf>
    <xf numFmtId="0" fontId="5" fillId="3" borderId="1" xfId="0" applyFont="1" applyFill="1" applyBorder="1" applyAlignment="1">
      <alignment horizontal="center" vertical="center" wrapText="1" readingOrder="2"/>
    </xf>
    <xf numFmtId="0" fontId="5" fillId="3" borderId="10" xfId="0" applyFont="1" applyFill="1" applyBorder="1" applyAlignment="1">
      <alignment horizontal="center" vertical="center" wrapText="1" readingOrder="2"/>
    </xf>
    <xf numFmtId="43" fontId="6" fillId="0" borderId="1" xfId="5" applyFont="1" applyFill="1" applyBorder="1" applyAlignment="1">
      <alignment vertical="center" wrapText="1" readingOrder="2"/>
    </xf>
    <xf numFmtId="0" fontId="6" fillId="2" borderId="1" xfId="0" applyFont="1" applyFill="1" applyBorder="1" applyAlignment="1">
      <alignment vertical="center" wrapText="1" readingOrder="2"/>
    </xf>
    <xf numFmtId="0" fontId="8" fillId="3" borderId="1" xfId="0" applyFont="1" applyFill="1" applyBorder="1" applyAlignment="1">
      <alignment vertical="center" wrapText="1"/>
    </xf>
    <xf numFmtId="0" fontId="6" fillId="2" borderId="2" xfId="0" applyFont="1" applyFill="1" applyBorder="1" applyAlignment="1">
      <alignment horizontal="center" vertical="center" wrapText="1" readingOrder="2"/>
    </xf>
    <xf numFmtId="0" fontId="6" fillId="2" borderId="5" xfId="0" applyFont="1" applyFill="1" applyBorder="1" applyAlignment="1">
      <alignment horizontal="center" vertical="center" wrapText="1" readingOrder="2"/>
    </xf>
    <xf numFmtId="0" fontId="6" fillId="2" borderId="3" xfId="0" applyFont="1" applyFill="1" applyBorder="1" applyAlignment="1">
      <alignment horizontal="center" vertical="center" wrapText="1" readingOrder="2"/>
    </xf>
    <xf numFmtId="0" fontId="8" fillId="3" borderId="1" xfId="0" applyFont="1" applyFill="1" applyBorder="1" applyAlignment="1">
      <alignment vertical="center" wrapText="1" readingOrder="2"/>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3" fontId="6" fillId="0" borderId="2"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6" fillId="0" borderId="2" xfId="0" applyFont="1" applyFill="1" applyBorder="1" applyAlignment="1">
      <alignment horizontal="center" vertical="center" wrapText="1" readingOrder="2"/>
    </xf>
    <xf numFmtId="0" fontId="6" fillId="0" borderId="3" xfId="0" applyFont="1" applyFill="1" applyBorder="1" applyAlignment="1">
      <alignment horizontal="center" vertical="center" wrapText="1" readingOrder="2"/>
    </xf>
    <xf numFmtId="0" fontId="22" fillId="3" borderId="1" xfId="0" applyFont="1" applyFill="1" applyBorder="1" applyAlignment="1">
      <alignment horizontal="center" vertical="center" wrapText="1"/>
    </xf>
    <xf numFmtId="9" fontId="22" fillId="3" borderId="1" xfId="4" applyFont="1" applyFill="1" applyBorder="1" applyAlignment="1">
      <alignment horizontal="center" vertical="center" wrapText="1"/>
    </xf>
    <xf numFmtId="0" fontId="6" fillId="0" borderId="1" xfId="0" applyFont="1" applyFill="1" applyBorder="1" applyAlignment="1">
      <alignment horizontal="right" vertical="center" wrapText="1" indent="1" readingOrder="2"/>
    </xf>
    <xf numFmtId="0" fontId="6" fillId="0" borderId="1"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6" fillId="2" borderId="1" xfId="0" applyFont="1" applyFill="1" applyBorder="1" applyAlignment="1">
      <alignment horizontal="center" vertical="center" wrapText="1" readingOrder="2"/>
    </xf>
    <xf numFmtId="0" fontId="8" fillId="3" borderId="1" xfId="0" applyFont="1" applyFill="1" applyBorder="1" applyAlignment="1">
      <alignment horizontal="right" vertical="center" wrapText="1" readingOrder="2"/>
    </xf>
    <xf numFmtId="0" fontId="20" fillId="2" borderId="1" xfId="0" applyFont="1" applyFill="1" applyBorder="1" applyAlignment="1">
      <alignment horizontal="right" vertical="center" wrapText="1" indent="1"/>
    </xf>
    <xf numFmtId="0" fontId="7" fillId="2" borderId="1" xfId="0" applyFont="1" applyFill="1" applyBorder="1" applyAlignment="1">
      <alignment horizontal="right" vertical="center" wrapText="1" indent="1"/>
    </xf>
    <xf numFmtId="49" fontId="5"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cellXfs>
  <cellStyles count="8">
    <cellStyle name="Comma" xfId="5" builtinId="3"/>
    <cellStyle name="Comma 4" xfId="3"/>
    <cellStyle name="Comma 4 2" xfId="6"/>
    <cellStyle name="Good" xfId="7" builtinId="26"/>
    <cellStyle name="Normal" xfId="0" builtinId="0"/>
    <cellStyle name="Normal 10" xfId="1"/>
    <cellStyle name="Normal 3"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na.khawari/Downloads/&#1662;&#1604;&#1575;&#1606;%20&#1607;&#1575;&#1740;%20&#1578;&#1591;&#1576;&#1740;&#1602;&#1740;%20&#1587;&#1575;&#1604;%20&#1605;&#1575;&#1604;&#1740;%201399/&#1662;&#1585;&#1608;&#1688;&#1607;%2047%20&#1605;&#1604;&#1740;&#1608;&#1606;%20&#1576;&#1582;&#1588;%20&#1587;&#1585;&#1587;&#1576;&#1586;&#1740;%20&#1587;&#1575;&#1604;1399%20-/&#1580;&#1583;&#1608;&#1604;%20&#1578;&#1602;&#1587;&#1740;&#1605;&#1575;&#1578;%20&#1576;&#1608;&#1583;&#1580;&#1608;&#1740;%201399(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HAMM~1.ZAH/AppData/Local/Temp/Users/amena.khawari/Downloads/&#1662;&#1604;&#1575;&#1606;%20&#1607;&#1575;&#1740;%20&#1578;&#1591;&#1576;&#1740;&#1602;&#1740;%20&#1587;&#1575;&#1604;%20&#1605;&#1575;&#1604;&#1740;%201399/&#1662;&#1585;&#1608;&#1688;&#1607;%2047%20&#1605;&#1604;&#1740;&#1608;&#1606;%20&#1576;&#1582;&#1588;%20&#1587;&#1585;&#1587;&#1576;&#1586;&#1740;%20&#1587;&#1575;&#1604;1399%20-/&#1580;&#1583;&#1608;&#1604;%20&#1578;&#1602;&#1587;&#1740;&#1605;&#1575;&#1578;%20&#1576;&#1608;&#1583;&#1580;&#1608;&#1740;%201399(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پلان مالی ماهوار سالانه"/>
      <sheetName val="پلان سالانه "/>
      <sheetName val="B4"/>
      <sheetName val="جدول عمومی بودجه"/>
      <sheetName val="جدول بودجوی به افغانی"/>
      <sheetName val="جدول توحیدی فعالیت ها"/>
      <sheetName val="پروان "/>
      <sheetName val="کاپیسا"/>
      <sheetName val="میدان وردک"/>
      <sheetName val="لوگر"/>
      <sheetName val="پنجشیر"/>
      <sheetName val="بامیان "/>
      <sheetName val="بلخ "/>
      <sheetName val="فاریاب "/>
      <sheetName val="جوزجان"/>
      <sheetName val="سمنگان"/>
      <sheetName val="سرپل"/>
      <sheetName val="پکتیا"/>
      <sheetName val="غزنی"/>
      <sheetName val="پکتیکا"/>
      <sheetName val="ننگرهار"/>
      <sheetName val="لغمان"/>
      <sheetName val="کنر"/>
      <sheetName val="هرات"/>
      <sheetName val="فراه"/>
      <sheetName val="غور"/>
      <sheetName val="بادغیس"/>
      <sheetName val="بدخشان "/>
      <sheetName val="کنذز"/>
      <sheetName val="تخار"/>
      <sheetName val="کندهار"/>
      <sheetName val="هلمند"/>
      <sheetName val="دایکندی"/>
      <sheetName val="ارزگا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6">
          <cell r="H16">
            <v>406166.66666666669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پلان مالی ماهوار سالانه"/>
      <sheetName val="پلان سالانه "/>
      <sheetName val="B4"/>
      <sheetName val="جدول عمومی بودجه"/>
      <sheetName val="جدول بودجوی به افغانی"/>
      <sheetName val="جدول توحیدی فعالیت ها"/>
      <sheetName val="پروان "/>
      <sheetName val="کاپیسا"/>
      <sheetName val="میدان وردک"/>
      <sheetName val="لوگر"/>
      <sheetName val="پنجشیر"/>
      <sheetName val="بامیان "/>
      <sheetName val="بلخ "/>
      <sheetName val="فاریاب "/>
      <sheetName val="جوزجان"/>
      <sheetName val="سمنگان"/>
      <sheetName val="سرپل"/>
      <sheetName val="پکتیا"/>
      <sheetName val="غزنی"/>
      <sheetName val="پکتیکا"/>
      <sheetName val="ننگرهار"/>
      <sheetName val="لغمان"/>
      <sheetName val="کنر"/>
      <sheetName val="هرات"/>
      <sheetName val="فراه"/>
      <sheetName val="غور"/>
      <sheetName val="بادغیس"/>
      <sheetName val="بدخشان "/>
      <sheetName val="کنذز"/>
      <sheetName val="تخار"/>
      <sheetName val="کندهار"/>
      <sheetName val="هلمند"/>
      <sheetName val="دایکندی"/>
      <sheetName val="ارزگا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5">
          <cell r="H15">
            <v>256966.66666666666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sheetPr>
  <dimension ref="A1:Q160"/>
  <sheetViews>
    <sheetView rightToLeft="1" view="pageBreakPreview" zoomScale="88" zoomScaleNormal="86" zoomScaleSheetLayoutView="88" workbookViewId="0">
      <pane ySplit="6" topLeftCell="A91" activePane="bottomLeft" state="frozen"/>
      <selection pane="bottomLeft" activeCell="K96" sqref="K96"/>
    </sheetView>
  </sheetViews>
  <sheetFormatPr defaultColWidth="9.140625" defaultRowHeight="15"/>
  <cols>
    <col min="1" max="1" width="6.28515625" style="181" customWidth="1"/>
    <col min="2" max="2" width="19" style="762" customWidth="1"/>
    <col min="3" max="3" width="14" style="298" customWidth="1"/>
    <col min="4" max="4" width="16.28515625" style="298" customWidth="1"/>
    <col min="5" max="5" width="29" style="762" customWidth="1"/>
    <col min="6" max="6" width="13.28515625" style="761" customWidth="1"/>
    <col min="7" max="7" width="8.42578125" style="760" customWidth="1"/>
    <col min="8" max="8" width="11.5703125" style="298" customWidth="1"/>
    <col min="9" max="9" width="10.140625" style="759" customWidth="1"/>
    <col min="10" max="10" width="10" style="181" customWidth="1"/>
    <col min="11" max="11" width="8" style="181" customWidth="1"/>
    <col min="12" max="12" width="10.140625" style="15" customWidth="1"/>
    <col min="13" max="13" width="15.28515625" style="15" bestFit="1" customWidth="1"/>
    <col min="14" max="14" width="23.7109375" style="313" customWidth="1"/>
    <col min="15" max="15" width="16.5703125" style="313" customWidth="1"/>
    <col min="16" max="16" width="18.7109375" style="758" customWidth="1"/>
    <col min="17" max="16384" width="9.140625" style="725"/>
  </cols>
  <sheetData>
    <row r="1" spans="1:16" ht="18" customHeight="1">
      <c r="A1" s="788" t="s">
        <v>2130</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s="5" customFormat="1" ht="24" customHeight="1">
      <c r="A5" s="791" t="s">
        <v>0</v>
      </c>
      <c r="B5" s="791" t="s">
        <v>14</v>
      </c>
      <c r="C5" s="792" t="s">
        <v>449</v>
      </c>
      <c r="D5" s="791" t="s">
        <v>1</v>
      </c>
      <c r="E5" s="791" t="s">
        <v>15</v>
      </c>
      <c r="F5" s="791" t="s">
        <v>9</v>
      </c>
      <c r="G5" s="791"/>
      <c r="H5" s="791"/>
      <c r="I5" s="791" t="s">
        <v>7</v>
      </c>
      <c r="J5" s="791" t="s">
        <v>6</v>
      </c>
      <c r="K5" s="792" t="s">
        <v>16</v>
      </c>
      <c r="L5" s="793" t="s">
        <v>2</v>
      </c>
      <c r="M5" s="793"/>
      <c r="N5" s="791" t="s">
        <v>5</v>
      </c>
      <c r="O5" s="791" t="s">
        <v>13</v>
      </c>
      <c r="P5" s="799" t="s">
        <v>8</v>
      </c>
    </row>
    <row r="6" spans="1:16" s="5" customFormat="1" ht="24" customHeight="1">
      <c r="A6" s="791"/>
      <c r="B6" s="791"/>
      <c r="C6" s="792"/>
      <c r="D6" s="791"/>
      <c r="E6" s="791"/>
      <c r="F6" s="721" t="s">
        <v>10</v>
      </c>
      <c r="G6" s="721" t="s">
        <v>11</v>
      </c>
      <c r="H6" s="721" t="s">
        <v>12</v>
      </c>
      <c r="I6" s="791"/>
      <c r="J6" s="791"/>
      <c r="K6" s="792"/>
      <c r="L6" s="721" t="s">
        <v>3</v>
      </c>
      <c r="M6" s="721" t="s">
        <v>4</v>
      </c>
      <c r="N6" s="791"/>
      <c r="O6" s="791"/>
      <c r="P6" s="799"/>
    </row>
    <row r="7" spans="1:16" s="5" customFormat="1" ht="61.5" customHeight="1">
      <c r="A7" s="730">
        <v>1</v>
      </c>
      <c r="B7" s="231" t="s">
        <v>20</v>
      </c>
      <c r="C7" s="236" t="s">
        <v>2109</v>
      </c>
      <c r="D7" s="231" t="s">
        <v>320</v>
      </c>
      <c r="E7" s="729" t="s">
        <v>632</v>
      </c>
      <c r="F7" s="311">
        <v>406333.33333333331</v>
      </c>
      <c r="G7" s="354" t="s">
        <v>23</v>
      </c>
      <c r="H7" s="6" t="s">
        <v>24</v>
      </c>
      <c r="I7" s="766">
        <v>1399</v>
      </c>
      <c r="J7" s="724" t="s">
        <v>25</v>
      </c>
      <c r="K7" s="219">
        <v>1</v>
      </c>
      <c r="L7" s="232"/>
      <c r="M7" s="228" t="s">
        <v>33</v>
      </c>
      <c r="N7" s="232"/>
      <c r="O7" s="232"/>
      <c r="P7" s="778"/>
    </row>
    <row r="8" spans="1:16" ht="36">
      <c r="A8" s="730">
        <v>2</v>
      </c>
      <c r="B8" s="635" t="s">
        <v>20</v>
      </c>
      <c r="C8" s="33" t="s">
        <v>2129</v>
      </c>
      <c r="D8" s="236" t="s">
        <v>1523</v>
      </c>
      <c r="E8" s="729" t="s">
        <v>2128</v>
      </c>
      <c r="F8" s="311">
        <v>5650858</v>
      </c>
      <c r="G8" s="354" t="s">
        <v>23</v>
      </c>
      <c r="H8" s="6" t="s">
        <v>24</v>
      </c>
      <c r="I8" s="766">
        <v>1399</v>
      </c>
      <c r="J8" s="724" t="s">
        <v>25</v>
      </c>
      <c r="K8" s="219">
        <v>1</v>
      </c>
      <c r="L8" s="232"/>
      <c r="M8" s="228" t="s">
        <v>33</v>
      </c>
      <c r="N8" s="232"/>
      <c r="O8" s="232"/>
      <c r="P8" s="778"/>
    </row>
    <row r="9" spans="1:16" ht="36">
      <c r="A9" s="730">
        <v>3</v>
      </c>
      <c r="B9" s="635" t="s">
        <v>20</v>
      </c>
      <c r="C9" s="33" t="s">
        <v>2127</v>
      </c>
      <c r="D9" s="236" t="s">
        <v>1523</v>
      </c>
      <c r="E9" s="729" t="s">
        <v>2126</v>
      </c>
      <c r="F9" s="311">
        <v>4765495</v>
      </c>
      <c r="G9" s="354" t="s">
        <v>23</v>
      </c>
      <c r="H9" s="6" t="s">
        <v>24</v>
      </c>
      <c r="I9" s="766">
        <v>1399</v>
      </c>
      <c r="J9" s="724" t="s">
        <v>25</v>
      </c>
      <c r="K9" s="219">
        <v>1</v>
      </c>
      <c r="L9" s="232"/>
      <c r="M9" s="228" t="s">
        <v>33</v>
      </c>
      <c r="N9" s="232"/>
      <c r="O9" s="232"/>
      <c r="P9" s="778"/>
    </row>
    <row r="10" spans="1:16" ht="36">
      <c r="A10" s="730">
        <v>4</v>
      </c>
      <c r="B10" s="635" t="s">
        <v>20</v>
      </c>
      <c r="C10" s="33" t="s">
        <v>2125</v>
      </c>
      <c r="D10" s="236" t="s">
        <v>1523</v>
      </c>
      <c r="E10" s="729" t="s">
        <v>2124</v>
      </c>
      <c r="F10" s="311">
        <v>1877192</v>
      </c>
      <c r="G10" s="354" t="s">
        <v>23</v>
      </c>
      <c r="H10" s="6" t="s">
        <v>24</v>
      </c>
      <c r="I10" s="766">
        <v>1399</v>
      </c>
      <c r="J10" s="724" t="s">
        <v>25</v>
      </c>
      <c r="K10" s="219">
        <v>1</v>
      </c>
      <c r="L10" s="232"/>
      <c r="M10" s="228" t="s">
        <v>33</v>
      </c>
      <c r="N10" s="232"/>
      <c r="O10" s="232"/>
      <c r="P10" s="778"/>
    </row>
    <row r="11" spans="1:16" ht="36">
      <c r="A11" s="730">
        <v>5</v>
      </c>
      <c r="B11" s="635" t="s">
        <v>20</v>
      </c>
      <c r="C11" s="33" t="s">
        <v>2123</v>
      </c>
      <c r="D11" s="236" t="s">
        <v>1523</v>
      </c>
      <c r="E11" s="729" t="s">
        <v>2122</v>
      </c>
      <c r="F11" s="311">
        <v>2316206</v>
      </c>
      <c r="G11" s="354" t="s">
        <v>23</v>
      </c>
      <c r="H11" s="6" t="s">
        <v>24</v>
      </c>
      <c r="I11" s="766">
        <v>1399</v>
      </c>
      <c r="J11" s="724" t="s">
        <v>25</v>
      </c>
      <c r="K11" s="219">
        <v>1</v>
      </c>
      <c r="L11" s="232"/>
      <c r="M11" s="228" t="s">
        <v>33</v>
      </c>
      <c r="N11" s="232"/>
      <c r="O11" s="232"/>
      <c r="P11" s="778"/>
    </row>
    <row r="12" spans="1:16" ht="36">
      <c r="A12" s="730">
        <v>6</v>
      </c>
      <c r="B12" s="635" t="s">
        <v>20</v>
      </c>
      <c r="C12" s="33" t="s">
        <v>2121</v>
      </c>
      <c r="D12" s="236" t="s">
        <v>1523</v>
      </c>
      <c r="E12" s="729" t="s">
        <v>2120</v>
      </c>
      <c r="F12" s="311">
        <v>2638913</v>
      </c>
      <c r="G12" s="354" t="s">
        <v>23</v>
      </c>
      <c r="H12" s="6" t="s">
        <v>24</v>
      </c>
      <c r="I12" s="766">
        <v>1399</v>
      </c>
      <c r="J12" s="724" t="s">
        <v>25</v>
      </c>
      <c r="K12" s="219">
        <v>1</v>
      </c>
      <c r="L12" s="232"/>
      <c r="M12" s="228" t="s">
        <v>33</v>
      </c>
      <c r="N12" s="232"/>
      <c r="O12" s="232"/>
      <c r="P12" s="778"/>
    </row>
    <row r="13" spans="1:16" ht="36">
      <c r="A13" s="730">
        <v>7</v>
      </c>
      <c r="B13" s="635" t="s">
        <v>20</v>
      </c>
      <c r="C13" s="33" t="s">
        <v>2119</v>
      </c>
      <c r="D13" s="236" t="s">
        <v>1523</v>
      </c>
      <c r="E13" s="729" t="s">
        <v>2118</v>
      </c>
      <c r="F13" s="311">
        <v>4974610</v>
      </c>
      <c r="G13" s="354" t="s">
        <v>23</v>
      </c>
      <c r="H13" s="6" t="s">
        <v>24</v>
      </c>
      <c r="I13" s="766">
        <v>1399</v>
      </c>
      <c r="J13" s="724" t="s">
        <v>25</v>
      </c>
      <c r="K13" s="219">
        <v>1</v>
      </c>
      <c r="L13" s="232"/>
      <c r="M13" s="228" t="s">
        <v>33</v>
      </c>
      <c r="N13" s="232"/>
      <c r="O13" s="232"/>
      <c r="P13" s="778"/>
    </row>
    <row r="14" spans="1:16" ht="36">
      <c r="A14" s="730">
        <v>8</v>
      </c>
      <c r="B14" s="635" t="s">
        <v>20</v>
      </c>
      <c r="C14" s="33" t="s">
        <v>2117</v>
      </c>
      <c r="D14" s="236" t="s">
        <v>1523</v>
      </c>
      <c r="E14" s="729" t="s">
        <v>2116</v>
      </c>
      <c r="F14" s="311">
        <v>6591154</v>
      </c>
      <c r="G14" s="354" t="s">
        <v>23</v>
      </c>
      <c r="H14" s="6" t="s">
        <v>24</v>
      </c>
      <c r="I14" s="766">
        <v>1399</v>
      </c>
      <c r="J14" s="724" t="s">
        <v>25</v>
      </c>
      <c r="K14" s="219">
        <v>1</v>
      </c>
      <c r="L14" s="232"/>
      <c r="M14" s="228" t="s">
        <v>33</v>
      </c>
      <c r="N14" s="232"/>
      <c r="O14" s="232"/>
      <c r="P14" s="778"/>
    </row>
    <row r="15" spans="1:16" ht="36">
      <c r="A15" s="730">
        <v>9</v>
      </c>
      <c r="B15" s="635" t="s">
        <v>20</v>
      </c>
      <c r="C15" s="33" t="s">
        <v>2115</v>
      </c>
      <c r="D15" s="236" t="s">
        <v>1523</v>
      </c>
      <c r="E15" s="729" t="s">
        <v>2114</v>
      </c>
      <c r="F15" s="311">
        <v>6121980</v>
      </c>
      <c r="G15" s="354" t="s">
        <v>23</v>
      </c>
      <c r="H15" s="6" t="s">
        <v>24</v>
      </c>
      <c r="I15" s="766">
        <v>1399</v>
      </c>
      <c r="J15" s="724" t="s">
        <v>25</v>
      </c>
      <c r="K15" s="219">
        <v>1</v>
      </c>
      <c r="L15" s="492"/>
      <c r="M15" s="228" t="s">
        <v>33</v>
      </c>
      <c r="N15" s="232"/>
      <c r="O15" s="232"/>
      <c r="P15" s="778"/>
    </row>
    <row r="16" spans="1:16" ht="36">
      <c r="A16" s="730">
        <v>10</v>
      </c>
      <c r="B16" s="635" t="s">
        <v>20</v>
      </c>
      <c r="C16" s="33" t="s">
        <v>2113</v>
      </c>
      <c r="D16" s="236" t="s">
        <v>1523</v>
      </c>
      <c r="E16" s="729" t="s">
        <v>2112</v>
      </c>
      <c r="F16" s="311">
        <v>3114945</v>
      </c>
      <c r="G16" s="354" t="s">
        <v>23</v>
      </c>
      <c r="H16" s="6" t="s">
        <v>24</v>
      </c>
      <c r="I16" s="766">
        <v>1399</v>
      </c>
      <c r="J16" s="724" t="s">
        <v>25</v>
      </c>
      <c r="K16" s="219">
        <v>1</v>
      </c>
      <c r="L16" s="232"/>
      <c r="M16" s="228" t="s">
        <v>33</v>
      </c>
      <c r="N16" s="232"/>
      <c r="O16" s="232"/>
      <c r="P16" s="778"/>
    </row>
    <row r="17" spans="1:16" ht="36">
      <c r="A17" s="730">
        <v>11</v>
      </c>
      <c r="B17" s="635" t="s">
        <v>20</v>
      </c>
      <c r="C17" s="33" t="s">
        <v>2111</v>
      </c>
      <c r="D17" s="236" t="s">
        <v>1523</v>
      </c>
      <c r="E17" s="729" t="s">
        <v>2110</v>
      </c>
      <c r="F17" s="311">
        <v>2599043</v>
      </c>
      <c r="G17" s="354" t="s">
        <v>23</v>
      </c>
      <c r="H17" s="6" t="s">
        <v>24</v>
      </c>
      <c r="I17" s="766">
        <v>1399</v>
      </c>
      <c r="J17" s="724" t="s">
        <v>25</v>
      </c>
      <c r="K17" s="219">
        <v>1</v>
      </c>
      <c r="L17" s="232"/>
      <c r="M17" s="228" t="s">
        <v>33</v>
      </c>
      <c r="N17" s="232"/>
      <c r="O17" s="232"/>
      <c r="P17" s="778"/>
    </row>
    <row r="18" spans="1:16" ht="54">
      <c r="A18" s="730">
        <v>12</v>
      </c>
      <c r="B18" s="635" t="s">
        <v>20</v>
      </c>
      <c r="C18" s="33" t="s">
        <v>2109</v>
      </c>
      <c r="D18" s="231" t="s">
        <v>320</v>
      </c>
      <c r="E18" s="729" t="s">
        <v>632</v>
      </c>
      <c r="F18" s="311">
        <v>406333.33333333331</v>
      </c>
      <c r="G18" s="354" t="s">
        <v>23</v>
      </c>
      <c r="H18" s="6" t="s">
        <v>24</v>
      </c>
      <c r="I18" s="766">
        <v>1399</v>
      </c>
      <c r="J18" s="724" t="s">
        <v>25</v>
      </c>
      <c r="K18" s="219">
        <v>1</v>
      </c>
      <c r="L18" s="232"/>
      <c r="M18" s="228" t="s">
        <v>33</v>
      </c>
      <c r="N18" s="232"/>
      <c r="O18" s="232"/>
      <c r="P18" s="778"/>
    </row>
    <row r="19" spans="1:16" ht="72">
      <c r="A19" s="730">
        <v>13</v>
      </c>
      <c r="B19" s="231" t="s">
        <v>20</v>
      </c>
      <c r="C19" s="236" t="s">
        <v>2108</v>
      </c>
      <c r="D19" s="236" t="s">
        <v>2104</v>
      </c>
      <c r="E19" s="635" t="s">
        <v>2107</v>
      </c>
      <c r="F19" s="310">
        <v>51000000</v>
      </c>
      <c r="G19" s="727" t="s">
        <v>23</v>
      </c>
      <c r="H19" s="90" t="s">
        <v>393</v>
      </c>
      <c r="I19" s="765">
        <v>1399</v>
      </c>
      <c r="J19" s="86" t="s">
        <v>25</v>
      </c>
      <c r="K19" s="48">
        <v>0.15</v>
      </c>
      <c r="L19" s="22"/>
      <c r="M19" s="22" t="s">
        <v>42</v>
      </c>
      <c r="N19" s="777"/>
      <c r="O19" s="777"/>
      <c r="P19" s="598"/>
    </row>
    <row r="20" spans="1:16" ht="54">
      <c r="A20" s="730">
        <v>14</v>
      </c>
      <c r="B20" s="231" t="s">
        <v>20</v>
      </c>
      <c r="C20" s="236" t="s">
        <v>2106</v>
      </c>
      <c r="D20" s="236" t="s">
        <v>2104</v>
      </c>
      <c r="E20" s="635" t="s">
        <v>2105</v>
      </c>
      <c r="F20" s="310">
        <v>142798882.21000001</v>
      </c>
      <c r="G20" s="727" t="s">
        <v>23</v>
      </c>
      <c r="H20" s="90" t="s">
        <v>393</v>
      </c>
      <c r="I20" s="765">
        <v>1399</v>
      </c>
      <c r="J20" s="86" t="s">
        <v>25</v>
      </c>
      <c r="K20" s="48">
        <v>1</v>
      </c>
      <c r="L20" s="22"/>
      <c r="M20" s="27" t="s">
        <v>33</v>
      </c>
      <c r="N20" s="777"/>
      <c r="O20" s="777"/>
      <c r="P20" s="598"/>
    </row>
    <row r="21" spans="1:16" ht="54">
      <c r="A21" s="730">
        <v>15</v>
      </c>
      <c r="B21" s="231" t="s">
        <v>20</v>
      </c>
      <c r="C21" s="236" t="s">
        <v>184</v>
      </c>
      <c r="D21" s="236" t="s">
        <v>2104</v>
      </c>
      <c r="E21" s="635" t="s">
        <v>2103</v>
      </c>
      <c r="F21" s="310">
        <f>270000*74.4</f>
        <v>20088000</v>
      </c>
      <c r="G21" s="727" t="s">
        <v>23</v>
      </c>
      <c r="H21" s="90" t="s">
        <v>393</v>
      </c>
      <c r="I21" s="765">
        <v>1399</v>
      </c>
      <c r="J21" s="86" t="s">
        <v>25</v>
      </c>
      <c r="K21" s="48">
        <v>1</v>
      </c>
      <c r="L21" s="22"/>
      <c r="M21" s="27" t="s">
        <v>33</v>
      </c>
      <c r="N21" s="777"/>
      <c r="O21" s="777"/>
      <c r="P21" s="598"/>
    </row>
    <row r="22" spans="1:16" s="23" customFormat="1" ht="56.45" customHeight="1">
      <c r="A22" s="730">
        <v>16</v>
      </c>
      <c r="B22" s="729" t="s">
        <v>20</v>
      </c>
      <c r="C22" s="722"/>
      <c r="D22" s="729" t="s">
        <v>21</v>
      </c>
      <c r="E22" s="729" t="s">
        <v>22</v>
      </c>
      <c r="F22" s="311">
        <v>640000</v>
      </c>
      <c r="G22" s="354" t="s">
        <v>23</v>
      </c>
      <c r="H22" s="6" t="s">
        <v>24</v>
      </c>
      <c r="I22" s="766">
        <v>1399</v>
      </c>
      <c r="J22" s="724" t="s">
        <v>25</v>
      </c>
      <c r="K22" s="48">
        <v>1</v>
      </c>
      <c r="L22" s="728"/>
      <c r="M22" s="27" t="s">
        <v>33</v>
      </c>
      <c r="N22" s="728"/>
      <c r="O22" s="726"/>
      <c r="P22" s="251"/>
    </row>
    <row r="23" spans="1:16" s="23" customFormat="1" ht="64.900000000000006" customHeight="1">
      <c r="A23" s="730">
        <v>17</v>
      </c>
      <c r="B23" s="729" t="s">
        <v>20</v>
      </c>
      <c r="C23" s="722"/>
      <c r="D23" s="729" t="s">
        <v>21</v>
      </c>
      <c r="E23" s="729" t="s">
        <v>2102</v>
      </c>
      <c r="F23" s="311">
        <v>37000</v>
      </c>
      <c r="G23" s="354" t="s">
        <v>23</v>
      </c>
      <c r="H23" s="6" t="s">
        <v>24</v>
      </c>
      <c r="I23" s="766">
        <v>1399</v>
      </c>
      <c r="J23" s="724" t="s">
        <v>25</v>
      </c>
      <c r="K23" s="48">
        <v>1</v>
      </c>
      <c r="L23" s="728"/>
      <c r="M23" s="27" t="s">
        <v>33</v>
      </c>
      <c r="N23" s="728"/>
      <c r="O23" s="726"/>
      <c r="P23" s="251"/>
    </row>
    <row r="24" spans="1:16" s="23" customFormat="1" ht="55.9" customHeight="1">
      <c r="A24" s="730">
        <v>18</v>
      </c>
      <c r="B24" s="729" t="s">
        <v>20</v>
      </c>
      <c r="C24" s="722"/>
      <c r="D24" s="729" t="s">
        <v>21</v>
      </c>
      <c r="E24" s="729" t="s">
        <v>26</v>
      </c>
      <c r="F24" s="311">
        <v>202500</v>
      </c>
      <c r="G24" s="354" t="s">
        <v>23</v>
      </c>
      <c r="H24" s="6" t="s">
        <v>24</v>
      </c>
      <c r="I24" s="766">
        <v>1399</v>
      </c>
      <c r="J24" s="724" t="s">
        <v>25</v>
      </c>
      <c r="K24" s="48">
        <v>1</v>
      </c>
      <c r="L24" s="229"/>
      <c r="M24" s="27" t="s">
        <v>33</v>
      </c>
      <c r="N24" s="229"/>
      <c r="O24" s="726"/>
      <c r="P24" s="251"/>
    </row>
    <row r="25" spans="1:16" s="23" customFormat="1" ht="49.9" customHeight="1">
      <c r="A25" s="730">
        <v>19</v>
      </c>
      <c r="B25" s="729" t="s">
        <v>20</v>
      </c>
      <c r="C25" s="722"/>
      <c r="D25" s="729" t="s">
        <v>21</v>
      </c>
      <c r="E25" s="729" t="s">
        <v>27</v>
      </c>
      <c r="F25" s="311">
        <v>30000</v>
      </c>
      <c r="G25" s="354" t="s">
        <v>23</v>
      </c>
      <c r="H25" s="6" t="s">
        <v>24</v>
      </c>
      <c r="I25" s="766">
        <v>1399</v>
      </c>
      <c r="J25" s="724" t="s">
        <v>25</v>
      </c>
      <c r="K25" s="48">
        <v>1</v>
      </c>
      <c r="L25" s="229"/>
      <c r="M25" s="27" t="s">
        <v>33</v>
      </c>
      <c r="N25" s="229"/>
      <c r="O25" s="726"/>
      <c r="P25" s="251"/>
    </row>
    <row r="26" spans="1:16" s="23" customFormat="1" ht="58.5" customHeight="1">
      <c r="A26" s="730">
        <v>20</v>
      </c>
      <c r="B26" s="729" t="s">
        <v>20</v>
      </c>
      <c r="C26" s="722"/>
      <c r="D26" s="729" t="s">
        <v>28</v>
      </c>
      <c r="E26" s="169" t="s">
        <v>2101</v>
      </c>
      <c r="F26" s="311">
        <v>16800000</v>
      </c>
      <c r="G26" s="354" t="s">
        <v>23</v>
      </c>
      <c r="H26" s="6" t="s">
        <v>24</v>
      </c>
      <c r="I26" s="766">
        <v>1399</v>
      </c>
      <c r="J26" s="724" t="s">
        <v>25</v>
      </c>
      <c r="K26" s="48">
        <v>1</v>
      </c>
      <c r="L26" s="728" t="s">
        <v>17</v>
      </c>
      <c r="M26" s="27" t="s">
        <v>33</v>
      </c>
      <c r="N26" s="728" t="s">
        <v>17</v>
      </c>
      <c r="O26" s="726" t="s">
        <v>17</v>
      </c>
      <c r="P26" s="251" t="s">
        <v>17</v>
      </c>
    </row>
    <row r="27" spans="1:16" s="23" customFormat="1" ht="126">
      <c r="A27" s="730">
        <v>21</v>
      </c>
      <c r="B27" s="729" t="s">
        <v>20</v>
      </c>
      <c r="C27" s="722"/>
      <c r="D27" s="729" t="s">
        <v>28</v>
      </c>
      <c r="E27" s="729" t="s">
        <v>29</v>
      </c>
      <c r="F27" s="311">
        <v>135000</v>
      </c>
      <c r="G27" s="354" t="s">
        <v>23</v>
      </c>
      <c r="H27" s="6" t="s">
        <v>24</v>
      </c>
      <c r="I27" s="766">
        <v>1399</v>
      </c>
      <c r="J27" s="724" t="s">
        <v>25</v>
      </c>
      <c r="K27" s="48">
        <v>1</v>
      </c>
      <c r="L27" s="229"/>
      <c r="M27" s="728" t="s">
        <v>328</v>
      </c>
      <c r="N27" s="728"/>
      <c r="O27" s="728"/>
      <c r="P27" s="728"/>
    </row>
    <row r="28" spans="1:16" s="23" customFormat="1" ht="126">
      <c r="A28" s="730">
        <v>22</v>
      </c>
      <c r="B28" s="729" t="s">
        <v>20</v>
      </c>
      <c r="C28" s="722"/>
      <c r="D28" s="729" t="s">
        <v>28</v>
      </c>
      <c r="E28" s="729" t="s">
        <v>30</v>
      </c>
      <c r="F28" s="311">
        <v>83000</v>
      </c>
      <c r="G28" s="354" t="s">
        <v>23</v>
      </c>
      <c r="H28" s="6" t="s">
        <v>24</v>
      </c>
      <c r="I28" s="766">
        <v>1399</v>
      </c>
      <c r="J28" s="724" t="s">
        <v>25</v>
      </c>
      <c r="K28" s="48">
        <v>1</v>
      </c>
      <c r="L28" s="229"/>
      <c r="M28" s="728" t="s">
        <v>328</v>
      </c>
      <c r="N28" s="728"/>
      <c r="O28" s="728"/>
      <c r="P28" s="728"/>
    </row>
    <row r="29" spans="1:16" s="23" customFormat="1" ht="69" customHeight="1">
      <c r="A29" s="730">
        <v>23</v>
      </c>
      <c r="B29" s="729" t="s">
        <v>20</v>
      </c>
      <c r="C29" s="722"/>
      <c r="D29" s="729" t="s">
        <v>31</v>
      </c>
      <c r="E29" s="729" t="s">
        <v>32</v>
      </c>
      <c r="F29" s="311">
        <v>693240</v>
      </c>
      <c r="G29" s="354" t="s">
        <v>23</v>
      </c>
      <c r="H29" s="6" t="s">
        <v>24</v>
      </c>
      <c r="I29" s="766">
        <v>1399</v>
      </c>
      <c r="J29" s="724" t="s">
        <v>25</v>
      </c>
      <c r="K29" s="48">
        <v>1</v>
      </c>
      <c r="L29" s="229"/>
      <c r="M29" s="728" t="s">
        <v>328</v>
      </c>
      <c r="N29" s="316"/>
      <c r="O29" s="237"/>
      <c r="P29" s="315"/>
    </row>
    <row r="30" spans="1:16" s="26" customFormat="1" ht="77.25" customHeight="1">
      <c r="A30" s="730">
        <v>24</v>
      </c>
      <c r="B30" s="231" t="s">
        <v>20</v>
      </c>
      <c r="C30" s="722"/>
      <c r="D30" s="729" t="s">
        <v>31</v>
      </c>
      <c r="E30" s="729" t="s">
        <v>34</v>
      </c>
      <c r="F30" s="311">
        <v>867280</v>
      </c>
      <c r="G30" s="354" t="s">
        <v>23</v>
      </c>
      <c r="H30" s="6" t="s">
        <v>24</v>
      </c>
      <c r="I30" s="766">
        <v>1399</v>
      </c>
      <c r="J30" s="724" t="s">
        <v>25</v>
      </c>
      <c r="K30" s="48">
        <v>1</v>
      </c>
      <c r="L30" s="229"/>
      <c r="M30" s="728" t="s">
        <v>328</v>
      </c>
      <c r="N30" s="229"/>
      <c r="O30" s="237"/>
      <c r="P30" s="25"/>
    </row>
    <row r="31" spans="1:16" s="23" customFormat="1" ht="55.15" customHeight="1">
      <c r="A31" s="730">
        <v>25</v>
      </c>
      <c r="B31" s="231" t="s">
        <v>20</v>
      </c>
      <c r="C31" s="722"/>
      <c r="D31" s="729" t="s">
        <v>31</v>
      </c>
      <c r="E31" s="729" t="s">
        <v>1923</v>
      </c>
      <c r="F31" s="311"/>
      <c r="G31" s="354" t="s">
        <v>23</v>
      </c>
      <c r="H31" s="6" t="s">
        <v>24</v>
      </c>
      <c r="I31" s="766">
        <v>1399</v>
      </c>
      <c r="J31" s="724" t="s">
        <v>25</v>
      </c>
      <c r="K31" s="230"/>
      <c r="L31" s="728" t="s">
        <v>35</v>
      </c>
      <c r="M31" s="728" t="s">
        <v>17</v>
      </c>
      <c r="N31" s="728" t="s">
        <v>36</v>
      </c>
      <c r="O31" s="237" t="s">
        <v>2100</v>
      </c>
      <c r="P31" s="315"/>
    </row>
    <row r="32" spans="1:16" s="23" customFormat="1" ht="54">
      <c r="A32" s="730">
        <v>26</v>
      </c>
      <c r="B32" s="231" t="s">
        <v>20</v>
      </c>
      <c r="C32" s="722"/>
      <c r="D32" s="729" t="s">
        <v>31</v>
      </c>
      <c r="E32" s="729" t="s">
        <v>37</v>
      </c>
      <c r="F32" s="311"/>
      <c r="G32" s="354" t="s">
        <v>23</v>
      </c>
      <c r="H32" s="6" t="s">
        <v>24</v>
      </c>
      <c r="I32" s="766">
        <v>1399</v>
      </c>
      <c r="J32" s="724" t="s">
        <v>25</v>
      </c>
      <c r="K32" s="230"/>
      <c r="L32" s="728" t="s">
        <v>35</v>
      </c>
      <c r="M32" s="728"/>
      <c r="N32" s="728" t="s">
        <v>36</v>
      </c>
      <c r="O32" s="237" t="s">
        <v>2100</v>
      </c>
      <c r="P32" s="315"/>
    </row>
    <row r="33" spans="1:16" s="23" customFormat="1" ht="54">
      <c r="A33" s="730">
        <v>27</v>
      </c>
      <c r="B33" s="231" t="s">
        <v>20</v>
      </c>
      <c r="C33" s="722"/>
      <c r="D33" s="729" t="s">
        <v>31</v>
      </c>
      <c r="E33" s="729" t="s">
        <v>38</v>
      </c>
      <c r="F33" s="311">
        <v>297000</v>
      </c>
      <c r="G33" s="354" t="s">
        <v>23</v>
      </c>
      <c r="H33" s="6" t="s">
        <v>24</v>
      </c>
      <c r="I33" s="766">
        <v>1399</v>
      </c>
      <c r="J33" s="724" t="s">
        <v>25</v>
      </c>
      <c r="K33" s="771">
        <v>1</v>
      </c>
      <c r="L33" s="776" t="s">
        <v>17</v>
      </c>
      <c r="M33" s="229" t="s">
        <v>328</v>
      </c>
      <c r="N33" s="229"/>
      <c r="O33" s="726"/>
      <c r="P33" s="251"/>
    </row>
    <row r="34" spans="1:16" s="23" customFormat="1" ht="54" customHeight="1">
      <c r="A34" s="730">
        <v>28</v>
      </c>
      <c r="B34" s="231" t="s">
        <v>20</v>
      </c>
      <c r="C34" s="236"/>
      <c r="D34" s="231" t="s">
        <v>40</v>
      </c>
      <c r="E34" s="169" t="s">
        <v>616</v>
      </c>
      <c r="F34" s="310">
        <v>1413600</v>
      </c>
      <c r="G34" s="354" t="s">
        <v>23</v>
      </c>
      <c r="H34" s="6" t="s">
        <v>41</v>
      </c>
      <c r="I34" s="765">
        <v>1399</v>
      </c>
      <c r="J34" s="724" t="s">
        <v>25</v>
      </c>
      <c r="K34" s="773">
        <v>1</v>
      </c>
      <c r="L34" s="316"/>
      <c r="M34" s="316" t="s">
        <v>33</v>
      </c>
      <c r="N34" s="316"/>
      <c r="O34" s="192"/>
      <c r="P34" s="299"/>
    </row>
    <row r="35" spans="1:16" s="23" customFormat="1" ht="36">
      <c r="A35" s="730">
        <v>29</v>
      </c>
      <c r="B35" s="729" t="s">
        <v>20</v>
      </c>
      <c r="C35" s="722"/>
      <c r="D35" s="729" t="s">
        <v>40</v>
      </c>
      <c r="E35" s="169" t="s">
        <v>2099</v>
      </c>
      <c r="F35" s="311">
        <f>240* 58032</f>
        <v>13927680</v>
      </c>
      <c r="G35" s="354" t="s">
        <v>23</v>
      </c>
      <c r="H35" s="6" t="s">
        <v>41</v>
      </c>
      <c r="I35" s="766">
        <v>1399</v>
      </c>
      <c r="J35" s="724" t="s">
        <v>25</v>
      </c>
      <c r="K35" s="771">
        <v>1</v>
      </c>
      <c r="L35" s="229"/>
      <c r="M35" s="229" t="s">
        <v>33</v>
      </c>
      <c r="N35" s="229"/>
      <c r="O35" s="726"/>
      <c r="P35" s="263"/>
    </row>
    <row r="36" spans="1:16" s="23" customFormat="1" ht="53.25" customHeight="1">
      <c r="A36" s="730">
        <v>30</v>
      </c>
      <c r="B36" s="231" t="s">
        <v>20</v>
      </c>
      <c r="C36" s="236"/>
      <c r="D36" s="231" t="s">
        <v>40</v>
      </c>
      <c r="E36" s="169" t="s">
        <v>43</v>
      </c>
      <c r="F36" s="310" t="s">
        <v>17</v>
      </c>
      <c r="G36" s="354" t="s">
        <v>17</v>
      </c>
      <c r="H36" s="6" t="s">
        <v>17</v>
      </c>
      <c r="I36" s="765">
        <v>1399</v>
      </c>
      <c r="J36" s="724" t="s">
        <v>25</v>
      </c>
      <c r="K36" s="771">
        <v>1</v>
      </c>
      <c r="L36" s="229"/>
      <c r="M36" s="229" t="s">
        <v>33</v>
      </c>
      <c r="N36" s="229"/>
      <c r="O36" s="193"/>
      <c r="P36" s="315" t="s">
        <v>2098</v>
      </c>
    </row>
    <row r="37" spans="1:16" s="23" customFormat="1" ht="86.45" customHeight="1">
      <c r="A37" s="730">
        <v>31</v>
      </c>
      <c r="B37" s="231" t="s">
        <v>20</v>
      </c>
      <c r="C37" s="236"/>
      <c r="D37" s="231" t="s">
        <v>40</v>
      </c>
      <c r="E37" s="266" t="s">
        <v>44</v>
      </c>
      <c r="F37" s="310">
        <f>8* 102300</f>
        <v>818400</v>
      </c>
      <c r="G37" s="354" t="s">
        <v>23</v>
      </c>
      <c r="H37" s="6" t="s">
        <v>41</v>
      </c>
      <c r="I37" s="765">
        <v>1399</v>
      </c>
      <c r="J37" s="724" t="s">
        <v>25</v>
      </c>
      <c r="K37" s="771">
        <v>1</v>
      </c>
      <c r="L37" s="104" t="s">
        <v>947</v>
      </c>
      <c r="M37" s="229" t="s">
        <v>33</v>
      </c>
      <c r="N37" s="728" t="s">
        <v>325</v>
      </c>
      <c r="O37" s="22" t="s">
        <v>960</v>
      </c>
      <c r="P37" s="299"/>
    </row>
    <row r="38" spans="1:16" s="23" customFormat="1" ht="93" customHeight="1">
      <c r="A38" s="730">
        <v>32</v>
      </c>
      <c r="B38" s="231" t="s">
        <v>20</v>
      </c>
      <c r="C38" s="236"/>
      <c r="D38" s="231" t="s">
        <v>40</v>
      </c>
      <c r="E38" s="266" t="s">
        <v>727</v>
      </c>
      <c r="F38" s="310">
        <f>3*68634</f>
        <v>205902</v>
      </c>
      <c r="G38" s="354" t="s">
        <v>23</v>
      </c>
      <c r="H38" s="6" t="s">
        <v>41</v>
      </c>
      <c r="I38" s="765">
        <v>1399</v>
      </c>
      <c r="J38" s="724" t="s">
        <v>25</v>
      </c>
      <c r="K38" s="771">
        <v>1</v>
      </c>
      <c r="L38" s="104" t="s">
        <v>947</v>
      </c>
      <c r="M38" s="229" t="s">
        <v>33</v>
      </c>
      <c r="N38" s="728" t="s">
        <v>325</v>
      </c>
      <c r="O38" s="22" t="s">
        <v>960</v>
      </c>
      <c r="P38" s="299"/>
    </row>
    <row r="39" spans="1:16" s="23" customFormat="1" ht="83.45" customHeight="1">
      <c r="A39" s="730">
        <v>33</v>
      </c>
      <c r="B39" s="231" t="s">
        <v>20</v>
      </c>
      <c r="C39" s="236"/>
      <c r="D39" s="231" t="s">
        <v>40</v>
      </c>
      <c r="E39" s="169" t="s">
        <v>2097</v>
      </c>
      <c r="F39" s="310">
        <f>8* 223200</f>
        <v>1785600</v>
      </c>
      <c r="G39" s="354" t="s">
        <v>23</v>
      </c>
      <c r="H39" s="6" t="s">
        <v>41</v>
      </c>
      <c r="I39" s="765">
        <v>1399</v>
      </c>
      <c r="J39" s="724" t="s">
        <v>25</v>
      </c>
      <c r="K39" s="771">
        <v>1</v>
      </c>
      <c r="L39" s="104" t="s">
        <v>947</v>
      </c>
      <c r="M39" s="229" t="s">
        <v>33</v>
      </c>
      <c r="N39" s="728" t="s">
        <v>325</v>
      </c>
      <c r="O39" s="22" t="s">
        <v>960</v>
      </c>
      <c r="P39" s="299"/>
    </row>
    <row r="40" spans="1:16" s="23" customFormat="1" ht="90">
      <c r="A40" s="730">
        <v>34</v>
      </c>
      <c r="B40" s="231" t="s">
        <v>20</v>
      </c>
      <c r="C40" s="236"/>
      <c r="D40" s="231" t="s">
        <v>40</v>
      </c>
      <c r="E40" s="169" t="s">
        <v>682</v>
      </c>
      <c r="F40" s="310">
        <f>10*  304452</f>
        <v>3044520</v>
      </c>
      <c r="G40" s="354" t="s">
        <v>23</v>
      </c>
      <c r="H40" s="6" t="s">
        <v>41</v>
      </c>
      <c r="I40" s="765">
        <v>1399</v>
      </c>
      <c r="J40" s="724" t="s">
        <v>25</v>
      </c>
      <c r="K40" s="771">
        <v>1</v>
      </c>
      <c r="L40" s="104" t="s">
        <v>947</v>
      </c>
      <c r="M40" s="229" t="s">
        <v>33</v>
      </c>
      <c r="N40" s="728" t="s">
        <v>325</v>
      </c>
      <c r="O40" s="22" t="s">
        <v>960</v>
      </c>
      <c r="P40" s="299"/>
    </row>
    <row r="41" spans="1:16" s="23" customFormat="1" ht="54">
      <c r="A41" s="730">
        <v>35</v>
      </c>
      <c r="B41" s="231" t="s">
        <v>20</v>
      </c>
      <c r="C41" s="236"/>
      <c r="D41" s="231" t="s">
        <v>40</v>
      </c>
      <c r="E41" s="169" t="s">
        <v>2096</v>
      </c>
      <c r="F41" s="310">
        <f>1305*148</f>
        <v>193140</v>
      </c>
      <c r="G41" s="354" t="s">
        <v>23</v>
      </c>
      <c r="H41" s="6" t="s">
        <v>41</v>
      </c>
      <c r="I41" s="765">
        <v>1399</v>
      </c>
      <c r="J41" s="724" t="s">
        <v>25</v>
      </c>
      <c r="K41" s="771">
        <v>1</v>
      </c>
      <c r="L41" s="229"/>
      <c r="M41" s="229" t="s">
        <v>33</v>
      </c>
      <c r="N41" s="229"/>
      <c r="O41" s="726"/>
      <c r="P41" s="299"/>
    </row>
    <row r="42" spans="1:16" s="23" customFormat="1" ht="90">
      <c r="A42" s="730">
        <v>36</v>
      </c>
      <c r="B42" s="231" t="s">
        <v>20</v>
      </c>
      <c r="C42" s="236"/>
      <c r="D42" s="231" t="s">
        <v>40</v>
      </c>
      <c r="E42" s="169" t="s">
        <v>45</v>
      </c>
      <c r="F42" s="310">
        <f>4*375000</f>
        <v>1500000</v>
      </c>
      <c r="G42" s="354" t="s">
        <v>23</v>
      </c>
      <c r="H42" s="6" t="s">
        <v>41</v>
      </c>
      <c r="I42" s="765">
        <v>1399</v>
      </c>
      <c r="J42" s="724" t="s">
        <v>25</v>
      </c>
      <c r="K42" s="771">
        <v>1</v>
      </c>
      <c r="L42" s="104" t="s">
        <v>947</v>
      </c>
      <c r="M42" s="229" t="s">
        <v>33</v>
      </c>
      <c r="N42" s="728" t="s">
        <v>325</v>
      </c>
      <c r="O42" s="22" t="s">
        <v>960</v>
      </c>
      <c r="P42" s="299"/>
    </row>
    <row r="43" spans="1:16" s="23" customFormat="1" ht="36">
      <c r="A43" s="730">
        <v>37</v>
      </c>
      <c r="B43" s="231" t="s">
        <v>20</v>
      </c>
      <c r="C43" s="236"/>
      <c r="D43" s="231" t="s">
        <v>40</v>
      </c>
      <c r="E43" s="169" t="s">
        <v>1916</v>
      </c>
      <c r="F43" s="310">
        <v>372000</v>
      </c>
      <c r="G43" s="354" t="s">
        <v>23</v>
      </c>
      <c r="H43" s="6" t="s">
        <v>41</v>
      </c>
      <c r="I43" s="765">
        <v>1399</v>
      </c>
      <c r="J43" s="724" t="s">
        <v>25</v>
      </c>
      <c r="K43" s="773">
        <v>1</v>
      </c>
      <c r="L43" s="316"/>
      <c r="M43" s="316" t="s">
        <v>33</v>
      </c>
      <c r="N43" s="104"/>
      <c r="O43" s="40"/>
      <c r="P43" s="299"/>
    </row>
    <row r="44" spans="1:16" s="23" customFormat="1" ht="90">
      <c r="A44" s="730">
        <v>38</v>
      </c>
      <c r="B44" s="231" t="s">
        <v>20</v>
      </c>
      <c r="C44" s="236"/>
      <c r="D44" s="231" t="s">
        <v>40</v>
      </c>
      <c r="E44" s="169" t="s">
        <v>816</v>
      </c>
      <c r="F44" s="310">
        <f>29*22320</f>
        <v>647280</v>
      </c>
      <c r="G44" s="354" t="s">
        <v>23</v>
      </c>
      <c r="H44" s="6" t="s">
        <v>41</v>
      </c>
      <c r="I44" s="765">
        <v>1399</v>
      </c>
      <c r="J44" s="724" t="s">
        <v>25</v>
      </c>
      <c r="K44" s="773">
        <v>1</v>
      </c>
      <c r="L44" s="104" t="s">
        <v>947</v>
      </c>
      <c r="M44" s="316" t="s">
        <v>33</v>
      </c>
      <c r="N44" s="728" t="s">
        <v>325</v>
      </c>
      <c r="O44" s="22" t="s">
        <v>960</v>
      </c>
      <c r="P44" s="299"/>
    </row>
    <row r="45" spans="1:16" s="23" customFormat="1" ht="36">
      <c r="A45" s="730">
        <v>39</v>
      </c>
      <c r="B45" s="231" t="s">
        <v>20</v>
      </c>
      <c r="C45" s="236"/>
      <c r="D45" s="231" t="s">
        <v>40</v>
      </c>
      <c r="E45" s="169" t="s">
        <v>512</v>
      </c>
      <c r="F45" s="310">
        <f>5* 3645</f>
        <v>18225</v>
      </c>
      <c r="G45" s="354" t="s">
        <v>23</v>
      </c>
      <c r="H45" s="6" t="s">
        <v>41</v>
      </c>
      <c r="I45" s="765">
        <v>1399</v>
      </c>
      <c r="J45" s="724" t="s">
        <v>25</v>
      </c>
      <c r="K45" s="773">
        <v>1</v>
      </c>
      <c r="L45" s="316"/>
      <c r="M45" s="316" t="s">
        <v>33</v>
      </c>
      <c r="N45" s="316"/>
      <c r="O45" s="40"/>
      <c r="P45" s="299"/>
    </row>
    <row r="46" spans="1:16" s="23" customFormat="1" ht="54">
      <c r="A46" s="730">
        <v>40</v>
      </c>
      <c r="B46" s="231" t="s">
        <v>20</v>
      </c>
      <c r="C46" s="236"/>
      <c r="D46" s="231" t="s">
        <v>40</v>
      </c>
      <c r="E46" s="169" t="s">
        <v>2095</v>
      </c>
      <c r="F46" s="310">
        <f>5* 44640</f>
        <v>223200</v>
      </c>
      <c r="G46" s="354" t="s">
        <v>23</v>
      </c>
      <c r="H46" s="6" t="s">
        <v>41</v>
      </c>
      <c r="I46" s="765">
        <v>1399</v>
      </c>
      <c r="J46" s="724" t="s">
        <v>25</v>
      </c>
      <c r="K46" s="773">
        <v>1</v>
      </c>
      <c r="L46" s="316"/>
      <c r="M46" s="316" t="s">
        <v>33</v>
      </c>
      <c r="N46" s="316"/>
      <c r="O46" s="40"/>
      <c r="P46" s="299"/>
    </row>
    <row r="47" spans="1:16" s="23" customFormat="1" ht="36">
      <c r="A47" s="730">
        <v>41</v>
      </c>
      <c r="B47" s="231" t="s">
        <v>20</v>
      </c>
      <c r="C47" s="236"/>
      <c r="D47" s="231" t="s">
        <v>40</v>
      </c>
      <c r="E47" s="169" t="s">
        <v>46</v>
      </c>
      <c r="F47" s="310">
        <f>5*52471</f>
        <v>262355</v>
      </c>
      <c r="G47" s="354" t="s">
        <v>23</v>
      </c>
      <c r="H47" s="6" t="s">
        <v>41</v>
      </c>
      <c r="I47" s="765">
        <v>1399</v>
      </c>
      <c r="J47" s="724" t="s">
        <v>25</v>
      </c>
      <c r="K47" s="773">
        <v>1</v>
      </c>
      <c r="L47" s="316"/>
      <c r="M47" s="316" t="s">
        <v>33</v>
      </c>
      <c r="N47" s="316"/>
      <c r="O47" s="40"/>
      <c r="P47" s="299"/>
    </row>
    <row r="48" spans="1:16" s="23" customFormat="1" ht="54">
      <c r="A48" s="730">
        <v>42</v>
      </c>
      <c r="B48" s="231" t="s">
        <v>20</v>
      </c>
      <c r="C48" s="236"/>
      <c r="D48" s="231" t="s">
        <v>40</v>
      </c>
      <c r="E48" s="169" t="s">
        <v>47</v>
      </c>
      <c r="F48" s="310">
        <f>150* 1518</f>
        <v>227700</v>
      </c>
      <c r="G48" s="354" t="s">
        <v>23</v>
      </c>
      <c r="H48" s="6" t="s">
        <v>41</v>
      </c>
      <c r="I48" s="765">
        <v>1399</v>
      </c>
      <c r="J48" s="724" t="s">
        <v>25</v>
      </c>
      <c r="K48" s="773">
        <v>1</v>
      </c>
      <c r="L48" s="316"/>
      <c r="M48" s="316" t="s">
        <v>33</v>
      </c>
      <c r="N48" s="316"/>
      <c r="O48" s="40"/>
      <c r="P48" s="299"/>
    </row>
    <row r="49" spans="1:16" s="23" customFormat="1" ht="90">
      <c r="A49" s="730">
        <v>43</v>
      </c>
      <c r="B49" s="231" t="s">
        <v>20</v>
      </c>
      <c r="C49" s="236"/>
      <c r="D49" s="231" t="s">
        <v>40</v>
      </c>
      <c r="E49" s="775" t="s">
        <v>566</v>
      </c>
      <c r="F49" s="310">
        <v>781200</v>
      </c>
      <c r="G49" s="354" t="s">
        <v>23</v>
      </c>
      <c r="H49" s="6" t="s">
        <v>41</v>
      </c>
      <c r="I49" s="765">
        <v>1399</v>
      </c>
      <c r="J49" s="724" t="s">
        <v>25</v>
      </c>
      <c r="K49" s="773">
        <v>1</v>
      </c>
      <c r="L49" s="104" t="s">
        <v>947</v>
      </c>
      <c r="M49" s="316" t="s">
        <v>33</v>
      </c>
      <c r="N49" s="728" t="s">
        <v>325</v>
      </c>
      <c r="O49" s="22" t="s">
        <v>960</v>
      </c>
      <c r="P49" s="299"/>
    </row>
    <row r="50" spans="1:16" s="23" customFormat="1" ht="36">
      <c r="A50" s="730">
        <v>44</v>
      </c>
      <c r="B50" s="231" t="s">
        <v>20</v>
      </c>
      <c r="C50" s="236"/>
      <c r="D50" s="231" t="s">
        <v>40</v>
      </c>
      <c r="E50" s="169" t="s">
        <v>48</v>
      </c>
      <c r="F50" s="310">
        <f>2* 42514</f>
        <v>85028</v>
      </c>
      <c r="G50" s="354" t="s">
        <v>23</v>
      </c>
      <c r="H50" s="6" t="s">
        <v>41</v>
      </c>
      <c r="I50" s="765">
        <v>1399</v>
      </c>
      <c r="J50" s="724" t="s">
        <v>25</v>
      </c>
      <c r="K50" s="773">
        <v>1</v>
      </c>
      <c r="L50" s="316"/>
      <c r="M50" s="316" t="s">
        <v>33</v>
      </c>
      <c r="N50" s="316"/>
      <c r="O50" s="40"/>
      <c r="P50" s="299"/>
    </row>
    <row r="51" spans="1:16" s="23" customFormat="1" ht="36">
      <c r="A51" s="730">
        <v>45</v>
      </c>
      <c r="B51" s="231" t="s">
        <v>20</v>
      </c>
      <c r="C51" s="236"/>
      <c r="D51" s="231" t="s">
        <v>40</v>
      </c>
      <c r="E51" s="635" t="s">
        <v>49</v>
      </c>
      <c r="F51" s="310">
        <f>150*1041</f>
        <v>156150</v>
      </c>
      <c r="G51" s="354" t="s">
        <v>23</v>
      </c>
      <c r="H51" s="6" t="s">
        <v>41</v>
      </c>
      <c r="I51" s="765">
        <v>1399</v>
      </c>
      <c r="J51" s="724" t="s">
        <v>25</v>
      </c>
      <c r="K51" s="773">
        <v>1</v>
      </c>
      <c r="L51" s="316"/>
      <c r="M51" s="316" t="s">
        <v>33</v>
      </c>
      <c r="N51" s="316"/>
      <c r="O51" s="40"/>
      <c r="P51" s="299"/>
    </row>
    <row r="52" spans="1:16" s="23" customFormat="1" ht="36">
      <c r="A52" s="730">
        <v>46</v>
      </c>
      <c r="B52" s="231" t="s">
        <v>20</v>
      </c>
      <c r="C52" s="236"/>
      <c r="D52" s="231" t="s">
        <v>40</v>
      </c>
      <c r="E52" s="635" t="s">
        <v>2094</v>
      </c>
      <c r="F52" s="310">
        <f>150* 729</f>
        <v>109350</v>
      </c>
      <c r="G52" s="354" t="s">
        <v>23</v>
      </c>
      <c r="H52" s="6" t="s">
        <v>41</v>
      </c>
      <c r="I52" s="765">
        <v>1399</v>
      </c>
      <c r="J52" s="724" t="s">
        <v>25</v>
      </c>
      <c r="K52" s="773">
        <v>1</v>
      </c>
      <c r="L52" s="316"/>
      <c r="M52" s="316" t="s">
        <v>33</v>
      </c>
      <c r="N52" s="316"/>
      <c r="O52" s="40"/>
      <c r="P52" s="299"/>
    </row>
    <row r="53" spans="1:16" s="23" customFormat="1" ht="54">
      <c r="A53" s="730">
        <v>47</v>
      </c>
      <c r="B53" s="231" t="s">
        <v>20</v>
      </c>
      <c r="C53" s="236"/>
      <c r="D53" s="231" t="s">
        <v>40</v>
      </c>
      <c r="E53" s="635" t="s">
        <v>693</v>
      </c>
      <c r="F53" s="310">
        <v>156240</v>
      </c>
      <c r="G53" s="354" t="s">
        <v>23</v>
      </c>
      <c r="H53" s="6" t="s">
        <v>41</v>
      </c>
      <c r="I53" s="765">
        <v>1399</v>
      </c>
      <c r="J53" s="724" t="s">
        <v>25</v>
      </c>
      <c r="K53" s="773">
        <v>1</v>
      </c>
      <c r="L53" s="316"/>
      <c r="M53" s="316" t="s">
        <v>33</v>
      </c>
      <c r="N53" s="316"/>
      <c r="O53" s="40"/>
      <c r="P53" s="299"/>
    </row>
    <row r="54" spans="1:16" s="23" customFormat="1" ht="36">
      <c r="A54" s="730">
        <v>48</v>
      </c>
      <c r="B54" s="231" t="s">
        <v>20</v>
      </c>
      <c r="C54" s="236"/>
      <c r="D54" s="231" t="s">
        <v>40</v>
      </c>
      <c r="E54" s="169" t="s">
        <v>668</v>
      </c>
      <c r="F54" s="310">
        <f>1500*315</f>
        <v>472500</v>
      </c>
      <c r="G54" s="354" t="s">
        <v>23</v>
      </c>
      <c r="H54" s="6" t="s">
        <v>41</v>
      </c>
      <c r="I54" s="765">
        <v>1399</v>
      </c>
      <c r="J54" s="724" t="s">
        <v>25</v>
      </c>
      <c r="K54" s="773">
        <v>1</v>
      </c>
      <c r="L54" s="316"/>
      <c r="M54" s="316" t="s">
        <v>33</v>
      </c>
      <c r="N54" s="316"/>
      <c r="O54" s="40"/>
      <c r="P54" s="299"/>
    </row>
    <row r="55" spans="1:16" s="23" customFormat="1" ht="90">
      <c r="A55" s="730">
        <v>49</v>
      </c>
      <c r="B55" s="231" t="s">
        <v>20</v>
      </c>
      <c r="C55" s="236"/>
      <c r="D55" s="231" t="s">
        <v>40</v>
      </c>
      <c r="E55" s="169" t="s">
        <v>50</v>
      </c>
      <c r="F55" s="310">
        <f>5* 45570</f>
        <v>227850</v>
      </c>
      <c r="G55" s="354" t="s">
        <v>23</v>
      </c>
      <c r="H55" s="6" t="s">
        <v>41</v>
      </c>
      <c r="I55" s="765">
        <v>1399</v>
      </c>
      <c r="J55" s="724" t="s">
        <v>25</v>
      </c>
      <c r="K55" s="773">
        <v>1</v>
      </c>
      <c r="L55" s="104" t="s">
        <v>947</v>
      </c>
      <c r="M55" s="316" t="s">
        <v>33</v>
      </c>
      <c r="N55" s="728" t="s">
        <v>325</v>
      </c>
      <c r="O55" s="22" t="s">
        <v>960</v>
      </c>
      <c r="P55" s="251"/>
    </row>
    <row r="56" spans="1:16" s="23" customFormat="1" ht="47.45" customHeight="1">
      <c r="A56" s="730">
        <v>50</v>
      </c>
      <c r="B56" s="231" t="s">
        <v>20</v>
      </c>
      <c r="C56" s="236"/>
      <c r="D56" s="231" t="s">
        <v>40</v>
      </c>
      <c r="E56" s="169" t="s">
        <v>51</v>
      </c>
      <c r="F56" s="310">
        <f>5* 10416</f>
        <v>52080</v>
      </c>
      <c r="G56" s="354" t="s">
        <v>23</v>
      </c>
      <c r="H56" s="6" t="s">
        <v>41</v>
      </c>
      <c r="I56" s="765">
        <v>1399</v>
      </c>
      <c r="J56" s="724" t="s">
        <v>25</v>
      </c>
      <c r="K56" s="773">
        <v>1</v>
      </c>
      <c r="L56" s="229"/>
      <c r="M56" s="316" t="s">
        <v>33</v>
      </c>
      <c r="N56" s="229"/>
      <c r="O56" s="726"/>
      <c r="P56" s="251"/>
    </row>
    <row r="57" spans="1:16" s="23" customFormat="1" ht="84" customHeight="1">
      <c r="A57" s="730">
        <v>51</v>
      </c>
      <c r="B57" s="231" t="s">
        <v>20</v>
      </c>
      <c r="C57" s="236"/>
      <c r="D57" s="231" t="s">
        <v>40</v>
      </c>
      <c r="E57" s="169" t="s">
        <v>664</v>
      </c>
      <c r="F57" s="310">
        <f>5*396797</f>
        <v>1983985</v>
      </c>
      <c r="G57" s="354" t="s">
        <v>23</v>
      </c>
      <c r="H57" s="6" t="s">
        <v>41</v>
      </c>
      <c r="I57" s="765">
        <v>1399</v>
      </c>
      <c r="J57" s="724" t="s">
        <v>25</v>
      </c>
      <c r="K57" s="773">
        <v>1</v>
      </c>
      <c r="L57" s="104" t="s">
        <v>947</v>
      </c>
      <c r="M57" s="316" t="s">
        <v>33</v>
      </c>
      <c r="N57" s="728" t="s">
        <v>325</v>
      </c>
      <c r="O57" s="22" t="s">
        <v>960</v>
      </c>
      <c r="P57" s="251"/>
    </row>
    <row r="58" spans="1:16" s="23" customFormat="1" ht="36">
      <c r="A58" s="730">
        <v>52</v>
      </c>
      <c r="B58" s="231" t="s">
        <v>20</v>
      </c>
      <c r="C58" s="722"/>
      <c r="D58" s="729" t="s">
        <v>40</v>
      </c>
      <c r="E58" s="169" t="s">
        <v>2093</v>
      </c>
      <c r="F58" s="311">
        <f>45000* 31</f>
        <v>1395000</v>
      </c>
      <c r="G58" s="354" t="s">
        <v>23</v>
      </c>
      <c r="H58" s="6" t="s">
        <v>41</v>
      </c>
      <c r="I58" s="766">
        <v>1399</v>
      </c>
      <c r="J58" s="724" t="s">
        <v>25</v>
      </c>
      <c r="K58" s="773">
        <v>1</v>
      </c>
      <c r="L58" s="316"/>
      <c r="M58" s="316" t="s">
        <v>33</v>
      </c>
      <c r="N58" s="316"/>
      <c r="O58" s="726"/>
      <c r="P58" s="299"/>
    </row>
    <row r="59" spans="1:16" s="23" customFormat="1" ht="54">
      <c r="A59" s="730">
        <v>53</v>
      </c>
      <c r="B59" s="231" t="s">
        <v>20</v>
      </c>
      <c r="C59" s="722"/>
      <c r="D59" s="729" t="s">
        <v>40</v>
      </c>
      <c r="E59" s="169" t="s">
        <v>2092</v>
      </c>
      <c r="F59" s="311">
        <f>230000* 6.4</f>
        <v>1472000</v>
      </c>
      <c r="G59" s="354" t="s">
        <v>23</v>
      </c>
      <c r="H59" s="6" t="s">
        <v>41</v>
      </c>
      <c r="I59" s="766">
        <v>1399</v>
      </c>
      <c r="J59" s="724" t="s">
        <v>25</v>
      </c>
      <c r="K59" s="773">
        <v>1</v>
      </c>
      <c r="L59" s="316"/>
      <c r="M59" s="316" t="s">
        <v>33</v>
      </c>
      <c r="N59" s="316"/>
      <c r="O59" s="726"/>
      <c r="P59" s="299"/>
    </row>
    <row r="60" spans="1:16" s="23" customFormat="1" ht="90">
      <c r="A60" s="730">
        <v>54</v>
      </c>
      <c r="B60" s="231" t="s">
        <v>20</v>
      </c>
      <c r="C60" s="722"/>
      <c r="D60" s="729" t="s">
        <v>40</v>
      </c>
      <c r="E60" s="169" t="s">
        <v>2091</v>
      </c>
      <c r="F60" s="311">
        <f>25* 38500</f>
        <v>962500</v>
      </c>
      <c r="G60" s="354" t="s">
        <v>23</v>
      </c>
      <c r="H60" s="6" t="s">
        <v>41</v>
      </c>
      <c r="I60" s="766">
        <v>1399</v>
      </c>
      <c r="J60" s="724" t="s">
        <v>25</v>
      </c>
      <c r="K60" s="773">
        <v>1</v>
      </c>
      <c r="L60" s="316"/>
      <c r="M60" s="316" t="s">
        <v>33</v>
      </c>
      <c r="N60" s="316"/>
      <c r="O60" s="237"/>
      <c r="P60" s="299"/>
    </row>
    <row r="61" spans="1:16" s="23" customFormat="1" ht="59.45" customHeight="1">
      <c r="A61" s="730">
        <v>55</v>
      </c>
      <c r="B61" s="231" t="s">
        <v>20</v>
      </c>
      <c r="C61" s="722"/>
      <c r="D61" s="729" t="s">
        <v>40</v>
      </c>
      <c r="E61" s="169" t="s">
        <v>52</v>
      </c>
      <c r="F61" s="311">
        <v>450000</v>
      </c>
      <c r="G61" s="354" t="s">
        <v>23</v>
      </c>
      <c r="H61" s="6" t="s">
        <v>41</v>
      </c>
      <c r="I61" s="766">
        <v>1399</v>
      </c>
      <c r="J61" s="724" t="s">
        <v>25</v>
      </c>
      <c r="K61" s="773">
        <v>1</v>
      </c>
      <c r="L61" s="316"/>
      <c r="M61" s="316" t="s">
        <v>33</v>
      </c>
      <c r="N61" s="316"/>
      <c r="O61" s="237"/>
      <c r="P61" s="299"/>
    </row>
    <row r="62" spans="1:16" s="23" customFormat="1" ht="72">
      <c r="A62" s="730">
        <v>56</v>
      </c>
      <c r="B62" s="231" t="s">
        <v>20</v>
      </c>
      <c r="C62" s="722"/>
      <c r="D62" s="729" t="s">
        <v>40</v>
      </c>
      <c r="E62" s="169" t="s">
        <v>610</v>
      </c>
      <c r="F62" s="311">
        <v>1150000</v>
      </c>
      <c r="G62" s="354" t="s">
        <v>23</v>
      </c>
      <c r="H62" s="6" t="s">
        <v>41</v>
      </c>
      <c r="I62" s="766">
        <v>1399</v>
      </c>
      <c r="J62" s="724" t="s">
        <v>25</v>
      </c>
      <c r="K62" s="773">
        <v>1</v>
      </c>
      <c r="L62" s="316"/>
      <c r="M62" s="316" t="s">
        <v>33</v>
      </c>
      <c r="N62" s="316"/>
      <c r="O62" s="726"/>
      <c r="P62" s="299"/>
    </row>
    <row r="63" spans="1:16" s="23" customFormat="1" ht="144">
      <c r="A63" s="730">
        <v>57</v>
      </c>
      <c r="B63" s="231" t="s">
        <v>20</v>
      </c>
      <c r="C63" s="722"/>
      <c r="D63" s="729" t="s">
        <v>40</v>
      </c>
      <c r="E63" s="169" t="s">
        <v>2090</v>
      </c>
      <c r="F63" s="311">
        <f>17* 148610</f>
        <v>2526370</v>
      </c>
      <c r="G63" s="354" t="s">
        <v>23</v>
      </c>
      <c r="H63" s="6" t="s">
        <v>41</v>
      </c>
      <c r="I63" s="766">
        <v>1399</v>
      </c>
      <c r="J63" s="724" t="s">
        <v>25</v>
      </c>
      <c r="K63" s="773">
        <v>1</v>
      </c>
      <c r="L63" s="316"/>
      <c r="M63" s="316" t="s">
        <v>33</v>
      </c>
      <c r="N63" s="316"/>
      <c r="O63" s="774"/>
      <c r="P63" s="299"/>
    </row>
    <row r="64" spans="1:16" s="23" customFormat="1" ht="90">
      <c r="A64" s="730">
        <v>58</v>
      </c>
      <c r="B64" s="231" t="s">
        <v>20</v>
      </c>
      <c r="C64" s="722"/>
      <c r="D64" s="729" t="s">
        <v>40</v>
      </c>
      <c r="E64" s="169" t="s">
        <v>1908</v>
      </c>
      <c r="F64" s="311">
        <f>(10010000/1000000)*250000</f>
        <v>2502500</v>
      </c>
      <c r="G64" s="354" t="s">
        <v>23</v>
      </c>
      <c r="H64" s="6" t="s">
        <v>41</v>
      </c>
      <c r="I64" s="766">
        <v>1399</v>
      </c>
      <c r="J64" s="724" t="s">
        <v>25</v>
      </c>
      <c r="K64" s="773">
        <v>1</v>
      </c>
      <c r="L64" s="104" t="s">
        <v>947</v>
      </c>
      <c r="M64" s="316" t="s">
        <v>33</v>
      </c>
      <c r="N64" s="728" t="s">
        <v>325</v>
      </c>
      <c r="O64" s="22" t="s">
        <v>960</v>
      </c>
      <c r="P64" s="299"/>
    </row>
    <row r="65" spans="1:16" s="23" customFormat="1" ht="90">
      <c r="A65" s="730">
        <v>59</v>
      </c>
      <c r="B65" s="231" t="s">
        <v>20</v>
      </c>
      <c r="C65" s="722"/>
      <c r="D65" s="729" t="s">
        <v>40</v>
      </c>
      <c r="E65" s="169" t="s">
        <v>53</v>
      </c>
      <c r="F65" s="311">
        <f>2*2695000</f>
        <v>5390000</v>
      </c>
      <c r="G65" s="354" t="s">
        <v>23</v>
      </c>
      <c r="H65" s="6" t="s">
        <v>41</v>
      </c>
      <c r="I65" s="766">
        <v>1399</v>
      </c>
      <c r="J65" s="724" t="s">
        <v>25</v>
      </c>
      <c r="K65" s="773">
        <v>1</v>
      </c>
      <c r="L65" s="104" t="s">
        <v>947</v>
      </c>
      <c r="M65" s="316" t="s">
        <v>33</v>
      </c>
      <c r="N65" s="728" t="s">
        <v>325</v>
      </c>
      <c r="O65" s="22" t="s">
        <v>960</v>
      </c>
      <c r="P65" s="299"/>
    </row>
    <row r="66" spans="1:16" s="23" customFormat="1" ht="72">
      <c r="A66" s="730">
        <v>60</v>
      </c>
      <c r="B66" s="231" t="s">
        <v>20</v>
      </c>
      <c r="C66" s="722"/>
      <c r="D66" s="729" t="s">
        <v>40</v>
      </c>
      <c r="E66" s="169" t="s">
        <v>510</v>
      </c>
      <c r="F66" s="311">
        <f>15*66000</f>
        <v>990000</v>
      </c>
      <c r="G66" s="354" t="s">
        <v>23</v>
      </c>
      <c r="H66" s="6" t="s">
        <v>41</v>
      </c>
      <c r="I66" s="766">
        <v>1399</v>
      </c>
      <c r="J66" s="724" t="s">
        <v>25</v>
      </c>
      <c r="K66" s="773">
        <v>1</v>
      </c>
      <c r="L66" s="316"/>
      <c r="M66" s="316" t="s">
        <v>33</v>
      </c>
      <c r="N66" s="316"/>
      <c r="O66" s="237"/>
      <c r="P66" s="299"/>
    </row>
    <row r="67" spans="1:16" s="23" customFormat="1" ht="72">
      <c r="A67" s="730">
        <v>61</v>
      </c>
      <c r="B67" s="231" t="s">
        <v>20</v>
      </c>
      <c r="C67" s="722"/>
      <c r="D67" s="729" t="s">
        <v>40</v>
      </c>
      <c r="E67" s="169" t="s">
        <v>509</v>
      </c>
      <c r="F67" s="311">
        <f>30*30000</f>
        <v>900000</v>
      </c>
      <c r="G67" s="354" t="s">
        <v>23</v>
      </c>
      <c r="H67" s="6" t="s">
        <v>41</v>
      </c>
      <c r="I67" s="766">
        <v>1399</v>
      </c>
      <c r="J67" s="724" t="s">
        <v>25</v>
      </c>
      <c r="K67" s="773">
        <v>1</v>
      </c>
      <c r="L67" s="316"/>
      <c r="M67" s="316" t="s">
        <v>33</v>
      </c>
      <c r="N67" s="316"/>
      <c r="O67" s="237"/>
      <c r="P67" s="299"/>
    </row>
    <row r="68" spans="1:16" s="23" customFormat="1" ht="90">
      <c r="A68" s="730">
        <v>62</v>
      </c>
      <c r="B68" s="231" t="s">
        <v>20</v>
      </c>
      <c r="C68" s="722"/>
      <c r="D68" s="729" t="s">
        <v>40</v>
      </c>
      <c r="E68" s="169" t="s">
        <v>2089</v>
      </c>
      <c r="F68" s="311">
        <f>1950* 900</f>
        <v>1755000</v>
      </c>
      <c r="G68" s="354" t="s">
        <v>23</v>
      </c>
      <c r="H68" s="6" t="s">
        <v>41</v>
      </c>
      <c r="I68" s="766">
        <v>1399</v>
      </c>
      <c r="J68" s="724" t="s">
        <v>25</v>
      </c>
      <c r="K68" s="773">
        <v>1</v>
      </c>
      <c r="L68" s="104" t="s">
        <v>947</v>
      </c>
      <c r="M68" s="316" t="s">
        <v>33</v>
      </c>
      <c r="N68" s="728" t="s">
        <v>325</v>
      </c>
      <c r="O68" s="22" t="s">
        <v>960</v>
      </c>
      <c r="P68" s="299"/>
    </row>
    <row r="69" spans="1:16" ht="65.45" customHeight="1">
      <c r="A69" s="730">
        <v>63</v>
      </c>
      <c r="B69" s="231" t="s">
        <v>20</v>
      </c>
      <c r="C69" s="722"/>
      <c r="D69" s="729" t="s">
        <v>54</v>
      </c>
      <c r="E69" s="729" t="s">
        <v>2088</v>
      </c>
      <c r="F69" s="311">
        <v>813120</v>
      </c>
      <c r="G69" s="772"/>
      <c r="H69" s="6" t="s">
        <v>24</v>
      </c>
      <c r="I69" s="766">
        <v>1399</v>
      </c>
      <c r="J69" s="724" t="s">
        <v>25</v>
      </c>
      <c r="K69" s="275">
        <v>0.7</v>
      </c>
      <c r="L69" s="237"/>
      <c r="M69" s="316" t="s">
        <v>42</v>
      </c>
      <c r="N69" s="237"/>
      <c r="O69" s="237"/>
      <c r="P69" s="315"/>
    </row>
    <row r="70" spans="1:16" s="23" customFormat="1" ht="144.75" customHeight="1">
      <c r="A70" s="730">
        <v>64</v>
      </c>
      <c r="B70" s="635" t="s">
        <v>20</v>
      </c>
      <c r="C70" s="722" t="s">
        <v>2087</v>
      </c>
      <c r="D70" s="729" t="s">
        <v>55</v>
      </c>
      <c r="E70" s="726" t="s">
        <v>2086</v>
      </c>
      <c r="F70" s="311">
        <v>2000200</v>
      </c>
      <c r="G70" s="723" t="s">
        <v>23</v>
      </c>
      <c r="H70" s="6" t="s">
        <v>24</v>
      </c>
      <c r="I70" s="766">
        <v>1399</v>
      </c>
      <c r="J70" s="724" t="s">
        <v>25</v>
      </c>
      <c r="K70" s="771">
        <v>1</v>
      </c>
      <c r="L70" s="229"/>
      <c r="M70" s="316" t="s">
        <v>33</v>
      </c>
      <c r="N70" s="229"/>
      <c r="O70" s="726"/>
      <c r="P70" s="315"/>
    </row>
    <row r="71" spans="1:16" ht="104.25" customHeight="1">
      <c r="A71" s="730">
        <v>65</v>
      </c>
      <c r="B71" s="90" t="s">
        <v>75</v>
      </c>
      <c r="C71" s="236"/>
      <c r="D71" s="237" t="s">
        <v>76</v>
      </c>
      <c r="E71" s="237" t="s">
        <v>2085</v>
      </c>
      <c r="F71" s="35">
        <v>194023596</v>
      </c>
      <c r="G71" s="730" t="s">
        <v>23</v>
      </c>
      <c r="H71" s="33" t="s">
        <v>77</v>
      </c>
      <c r="I71" s="730">
        <v>1399</v>
      </c>
      <c r="J71" s="22" t="s">
        <v>25</v>
      </c>
      <c r="K71" s="163">
        <v>1</v>
      </c>
      <c r="L71" s="33"/>
      <c r="M71" s="22" t="s">
        <v>33</v>
      </c>
      <c r="N71" s="22"/>
      <c r="O71" s="22"/>
      <c r="P71" s="33" t="s">
        <v>2084</v>
      </c>
    </row>
    <row r="72" spans="1:16" s="23" customFormat="1" ht="100.5" customHeight="1">
      <c r="A72" s="730">
        <v>66</v>
      </c>
      <c r="B72" s="729" t="s">
        <v>20</v>
      </c>
      <c r="C72" s="722" t="s">
        <v>2082</v>
      </c>
      <c r="D72" s="729" t="s">
        <v>2081</v>
      </c>
      <c r="E72" s="237" t="s">
        <v>2083</v>
      </c>
      <c r="F72" s="310">
        <v>1979700</v>
      </c>
      <c r="G72" s="770" t="s">
        <v>23</v>
      </c>
      <c r="H72" s="90" t="s">
        <v>24</v>
      </c>
      <c r="I72" s="765">
        <v>1399</v>
      </c>
      <c r="J72" s="86" t="s">
        <v>25</v>
      </c>
      <c r="K72" s="39">
        <v>1</v>
      </c>
      <c r="L72" s="27"/>
      <c r="M72" s="104" t="s">
        <v>33</v>
      </c>
      <c r="N72" s="728"/>
      <c r="O72" s="728"/>
      <c r="P72" s="251"/>
    </row>
    <row r="73" spans="1:16" s="23" customFormat="1" ht="84" customHeight="1">
      <c r="A73" s="730">
        <v>67</v>
      </c>
      <c r="B73" s="729" t="s">
        <v>20</v>
      </c>
      <c r="C73" s="722" t="s">
        <v>2082</v>
      </c>
      <c r="D73" s="729" t="s">
        <v>2081</v>
      </c>
      <c r="E73" s="237" t="s">
        <v>1115</v>
      </c>
      <c r="F73" s="310">
        <v>80000</v>
      </c>
      <c r="G73" s="770" t="s">
        <v>23</v>
      </c>
      <c r="H73" s="90" t="s">
        <v>24</v>
      </c>
      <c r="I73" s="765">
        <v>1399</v>
      </c>
      <c r="J73" s="86" t="s">
        <v>25</v>
      </c>
      <c r="K73" s="39">
        <v>1</v>
      </c>
      <c r="L73" s="27"/>
      <c r="M73" s="104" t="s">
        <v>33</v>
      </c>
      <c r="N73" s="728"/>
      <c r="O73" s="728"/>
      <c r="P73" s="251"/>
    </row>
    <row r="74" spans="1:16" s="23" customFormat="1" ht="54" customHeight="1">
      <c r="A74" s="730">
        <v>68</v>
      </c>
      <c r="B74" s="729" t="s">
        <v>20</v>
      </c>
      <c r="C74" s="729" t="s">
        <v>2080</v>
      </c>
      <c r="D74" s="729" t="s">
        <v>403</v>
      </c>
      <c r="E74" s="729" t="s">
        <v>2079</v>
      </c>
      <c r="F74" s="310">
        <v>330000</v>
      </c>
      <c r="G74" s="440" t="s">
        <v>23</v>
      </c>
      <c r="H74" s="90" t="s">
        <v>24</v>
      </c>
      <c r="I74" s="765">
        <v>1399</v>
      </c>
      <c r="J74" s="86" t="s">
        <v>25</v>
      </c>
      <c r="K74" s="109">
        <v>1</v>
      </c>
      <c r="L74" s="27"/>
      <c r="M74" s="104" t="s">
        <v>33</v>
      </c>
      <c r="N74" s="728"/>
      <c r="O74" s="728"/>
      <c r="P74" s="251"/>
    </row>
    <row r="75" spans="1:16" s="23" customFormat="1" ht="36">
      <c r="A75" s="730">
        <v>69</v>
      </c>
      <c r="B75" s="729" t="s">
        <v>20</v>
      </c>
      <c r="C75" s="729" t="s">
        <v>1117</v>
      </c>
      <c r="D75" s="729" t="s">
        <v>403</v>
      </c>
      <c r="E75" s="729" t="s">
        <v>2078</v>
      </c>
      <c r="F75" s="310">
        <v>320000</v>
      </c>
      <c r="G75" s="440" t="s">
        <v>23</v>
      </c>
      <c r="H75" s="90" t="s">
        <v>24</v>
      </c>
      <c r="I75" s="765">
        <v>1399</v>
      </c>
      <c r="J75" s="86" t="s">
        <v>25</v>
      </c>
      <c r="K75" s="109">
        <v>1</v>
      </c>
      <c r="L75" s="27"/>
      <c r="M75" s="104" t="s">
        <v>33</v>
      </c>
      <c r="N75" s="728"/>
      <c r="O75" s="728"/>
      <c r="P75" s="251"/>
    </row>
    <row r="76" spans="1:16" s="23" customFormat="1" ht="54">
      <c r="A76" s="730">
        <v>70</v>
      </c>
      <c r="B76" s="729" t="s">
        <v>20</v>
      </c>
      <c r="C76" s="722"/>
      <c r="D76" s="729" t="s">
        <v>403</v>
      </c>
      <c r="E76" s="729" t="s">
        <v>2077</v>
      </c>
      <c r="F76" s="311">
        <v>8870620</v>
      </c>
      <c r="G76" s="731" t="s">
        <v>23</v>
      </c>
      <c r="H76" s="6" t="s">
        <v>24</v>
      </c>
      <c r="I76" s="766">
        <v>1399</v>
      </c>
      <c r="J76" s="724" t="s">
        <v>25</v>
      </c>
      <c r="K76" s="238" t="s">
        <v>17</v>
      </c>
      <c r="L76" s="27" t="s">
        <v>72</v>
      </c>
      <c r="M76" s="228"/>
      <c r="N76" s="728" t="s">
        <v>2049</v>
      </c>
      <c r="O76" s="728" t="s">
        <v>2076</v>
      </c>
      <c r="P76" s="251"/>
    </row>
    <row r="77" spans="1:16" s="23" customFormat="1" ht="87" customHeight="1">
      <c r="A77" s="730">
        <v>71</v>
      </c>
      <c r="B77" s="729" t="s">
        <v>20</v>
      </c>
      <c r="C77" s="33"/>
      <c r="D77" s="635" t="s">
        <v>500</v>
      </c>
      <c r="E77" s="635" t="s">
        <v>2075</v>
      </c>
      <c r="F77" s="310">
        <v>27000000</v>
      </c>
      <c r="G77" s="440" t="s">
        <v>23</v>
      </c>
      <c r="H77" s="90" t="s">
        <v>2070</v>
      </c>
      <c r="I77" s="765">
        <v>1399</v>
      </c>
      <c r="J77" s="86" t="s">
        <v>25</v>
      </c>
      <c r="K77" s="109" t="s">
        <v>17</v>
      </c>
      <c r="L77" s="22" t="s">
        <v>72</v>
      </c>
      <c r="M77" s="40"/>
      <c r="N77" s="22" t="s">
        <v>1866</v>
      </c>
      <c r="O77" s="33" t="s">
        <v>2131</v>
      </c>
      <c r="P77" s="779"/>
    </row>
    <row r="78" spans="1:16" s="23" customFormat="1" ht="90">
      <c r="A78" s="730">
        <v>72</v>
      </c>
      <c r="B78" s="729" t="s">
        <v>20</v>
      </c>
      <c r="C78" s="33"/>
      <c r="D78" s="635" t="s">
        <v>500</v>
      </c>
      <c r="E78" s="635" t="s">
        <v>1118</v>
      </c>
      <c r="F78" s="310">
        <v>4585000</v>
      </c>
      <c r="G78" s="440" t="s">
        <v>23</v>
      </c>
      <c r="H78" s="90" t="s">
        <v>2070</v>
      </c>
      <c r="I78" s="765">
        <v>1399</v>
      </c>
      <c r="J78" s="86" t="s">
        <v>25</v>
      </c>
      <c r="K78" s="109" t="s">
        <v>17</v>
      </c>
      <c r="L78" s="22" t="s">
        <v>72</v>
      </c>
      <c r="M78" s="40"/>
      <c r="N78" s="22" t="s">
        <v>1866</v>
      </c>
      <c r="O78" s="33" t="s">
        <v>2131</v>
      </c>
      <c r="P78" s="779"/>
    </row>
    <row r="79" spans="1:16" s="23" customFormat="1" ht="72">
      <c r="A79" s="730">
        <v>73</v>
      </c>
      <c r="B79" s="635" t="s">
        <v>20</v>
      </c>
      <c r="C79" s="33" t="s">
        <v>2074</v>
      </c>
      <c r="D79" s="635" t="s">
        <v>500</v>
      </c>
      <c r="E79" s="635" t="s">
        <v>401</v>
      </c>
      <c r="F79" s="310">
        <v>4424000</v>
      </c>
      <c r="G79" s="440" t="s">
        <v>23</v>
      </c>
      <c r="H79" s="22" t="s">
        <v>2070</v>
      </c>
      <c r="I79" s="765">
        <v>1399</v>
      </c>
      <c r="J79" s="440" t="s">
        <v>25</v>
      </c>
      <c r="K79" s="109" t="s">
        <v>17</v>
      </c>
      <c r="L79" s="22" t="s">
        <v>72</v>
      </c>
      <c r="M79" s="40"/>
      <c r="N79" s="22" t="s">
        <v>1119</v>
      </c>
      <c r="O79" s="22" t="s">
        <v>1120</v>
      </c>
      <c r="P79" s="779"/>
    </row>
    <row r="80" spans="1:16" s="258" customFormat="1" ht="99" customHeight="1">
      <c r="A80" s="730">
        <v>74</v>
      </c>
      <c r="B80" s="729" t="s">
        <v>20</v>
      </c>
      <c r="C80" s="33"/>
      <c r="D80" s="635" t="s">
        <v>500</v>
      </c>
      <c r="E80" s="635" t="s">
        <v>502</v>
      </c>
      <c r="F80" s="310">
        <v>1540000</v>
      </c>
      <c r="G80" s="440" t="s">
        <v>23</v>
      </c>
      <c r="H80" s="90" t="s">
        <v>2070</v>
      </c>
      <c r="I80" s="765">
        <v>1399</v>
      </c>
      <c r="J80" s="86" t="s">
        <v>25</v>
      </c>
      <c r="K80" s="109" t="s">
        <v>17</v>
      </c>
      <c r="L80" s="40" t="s">
        <v>2039</v>
      </c>
      <c r="M80" s="22"/>
      <c r="N80" s="22" t="s">
        <v>325</v>
      </c>
      <c r="O80" s="22" t="s">
        <v>56</v>
      </c>
      <c r="P80" s="779"/>
    </row>
    <row r="81" spans="1:16" s="258" customFormat="1" ht="72" customHeight="1">
      <c r="A81" s="730">
        <v>75</v>
      </c>
      <c r="B81" s="729" t="s">
        <v>20</v>
      </c>
      <c r="C81" s="33"/>
      <c r="D81" s="635" t="s">
        <v>500</v>
      </c>
      <c r="E81" s="635" t="s">
        <v>400</v>
      </c>
      <c r="F81" s="800" t="s">
        <v>399</v>
      </c>
      <c r="G81" s="440" t="s">
        <v>23</v>
      </c>
      <c r="H81" s="90" t="s">
        <v>2070</v>
      </c>
      <c r="I81" s="765">
        <v>1399</v>
      </c>
      <c r="J81" s="86" t="s">
        <v>25</v>
      </c>
      <c r="K81" s="109">
        <v>0.1</v>
      </c>
      <c r="L81" s="27"/>
      <c r="M81" s="104" t="s">
        <v>42</v>
      </c>
      <c r="N81" s="22"/>
      <c r="O81" s="22"/>
      <c r="P81" s="794" t="s">
        <v>1121</v>
      </c>
    </row>
    <row r="82" spans="1:16" s="258" customFormat="1" ht="54">
      <c r="A82" s="730">
        <v>76</v>
      </c>
      <c r="B82" s="729" t="s">
        <v>20</v>
      </c>
      <c r="C82" s="33"/>
      <c r="D82" s="635" t="s">
        <v>500</v>
      </c>
      <c r="E82" s="635" t="s">
        <v>398</v>
      </c>
      <c r="F82" s="801"/>
      <c r="G82" s="440" t="s">
        <v>23</v>
      </c>
      <c r="H82" s="90" t="s">
        <v>2070</v>
      </c>
      <c r="I82" s="765">
        <v>1399</v>
      </c>
      <c r="J82" s="86" t="s">
        <v>25</v>
      </c>
      <c r="K82" s="109">
        <v>0.1</v>
      </c>
      <c r="L82" s="27"/>
      <c r="M82" s="104" t="s">
        <v>42</v>
      </c>
      <c r="N82" s="22"/>
      <c r="O82" s="22"/>
      <c r="P82" s="795"/>
    </row>
    <row r="83" spans="1:16" s="258" customFormat="1" ht="54">
      <c r="A83" s="730">
        <v>77</v>
      </c>
      <c r="B83" s="729" t="s">
        <v>20</v>
      </c>
      <c r="C83" s="33"/>
      <c r="D83" s="635" t="s">
        <v>500</v>
      </c>
      <c r="E83" s="635" t="s">
        <v>397</v>
      </c>
      <c r="F83" s="801"/>
      <c r="G83" s="440" t="s">
        <v>23</v>
      </c>
      <c r="H83" s="90" t="s">
        <v>2070</v>
      </c>
      <c r="I83" s="765">
        <v>1399</v>
      </c>
      <c r="J83" s="86" t="s">
        <v>25</v>
      </c>
      <c r="K83" s="109">
        <v>0.05</v>
      </c>
      <c r="L83" s="27"/>
      <c r="M83" s="104" t="s">
        <v>42</v>
      </c>
      <c r="N83" s="22"/>
      <c r="O83" s="22"/>
      <c r="P83" s="666" t="s">
        <v>2069</v>
      </c>
    </row>
    <row r="84" spans="1:16" s="258" customFormat="1" ht="54">
      <c r="A84" s="730">
        <v>78</v>
      </c>
      <c r="B84" s="729" t="s">
        <v>20</v>
      </c>
      <c r="C84" s="33"/>
      <c r="D84" s="635" t="s">
        <v>500</v>
      </c>
      <c r="E84" s="635" t="s">
        <v>2073</v>
      </c>
      <c r="F84" s="801"/>
      <c r="G84" s="440" t="s">
        <v>23</v>
      </c>
      <c r="H84" s="90" t="s">
        <v>2070</v>
      </c>
      <c r="I84" s="765">
        <v>1399</v>
      </c>
      <c r="J84" s="86" t="s">
        <v>25</v>
      </c>
      <c r="K84" s="109">
        <v>0.1</v>
      </c>
      <c r="L84" s="27"/>
      <c r="M84" s="104" t="s">
        <v>42</v>
      </c>
      <c r="N84" s="22"/>
      <c r="O84" s="22"/>
      <c r="P84" s="794" t="s">
        <v>1987</v>
      </c>
    </row>
    <row r="85" spans="1:16" s="258" customFormat="1" ht="54">
      <c r="A85" s="730">
        <v>79</v>
      </c>
      <c r="B85" s="729" t="s">
        <v>20</v>
      </c>
      <c r="C85" s="33"/>
      <c r="D85" s="635" t="s">
        <v>500</v>
      </c>
      <c r="E85" s="635" t="s">
        <v>2072</v>
      </c>
      <c r="F85" s="801"/>
      <c r="G85" s="440" t="s">
        <v>23</v>
      </c>
      <c r="H85" s="90" t="s">
        <v>2070</v>
      </c>
      <c r="I85" s="765">
        <v>1399</v>
      </c>
      <c r="J85" s="86" t="s">
        <v>25</v>
      </c>
      <c r="K85" s="109">
        <v>0.1</v>
      </c>
      <c r="L85" s="27"/>
      <c r="M85" s="104" t="s">
        <v>42</v>
      </c>
      <c r="N85" s="22"/>
      <c r="O85" s="22"/>
      <c r="P85" s="795"/>
    </row>
    <row r="86" spans="1:16" s="258" customFormat="1" ht="50.45" customHeight="1">
      <c r="A86" s="730">
        <v>80</v>
      </c>
      <c r="B86" s="729" t="s">
        <v>20</v>
      </c>
      <c r="C86" s="33"/>
      <c r="D86" s="635" t="s">
        <v>500</v>
      </c>
      <c r="E86" s="635" t="s">
        <v>2071</v>
      </c>
      <c r="F86" s="802"/>
      <c r="G86" s="440" t="s">
        <v>23</v>
      </c>
      <c r="H86" s="90" t="s">
        <v>2070</v>
      </c>
      <c r="I86" s="765">
        <v>1399</v>
      </c>
      <c r="J86" s="86" t="s">
        <v>25</v>
      </c>
      <c r="K86" s="109">
        <v>0.05</v>
      </c>
      <c r="L86" s="27"/>
      <c r="M86" s="104" t="s">
        <v>42</v>
      </c>
      <c r="N86" s="22"/>
      <c r="O86" s="22"/>
      <c r="P86" s="666" t="s">
        <v>2069</v>
      </c>
    </row>
    <row r="87" spans="1:16" s="23" customFormat="1" ht="64.150000000000006" customHeight="1">
      <c r="A87" s="730">
        <v>81</v>
      </c>
      <c r="B87" s="729" t="s">
        <v>20</v>
      </c>
      <c r="C87" s="33" t="s">
        <v>2068</v>
      </c>
      <c r="D87" s="635" t="s">
        <v>57</v>
      </c>
      <c r="E87" s="635" t="s">
        <v>2067</v>
      </c>
      <c r="F87" s="310">
        <v>7291200.0000000009</v>
      </c>
      <c r="G87" s="440" t="s">
        <v>23</v>
      </c>
      <c r="H87" s="90" t="s">
        <v>58</v>
      </c>
      <c r="I87" s="765">
        <v>1399</v>
      </c>
      <c r="J87" s="86" t="s">
        <v>25</v>
      </c>
      <c r="K87" s="109">
        <v>0.05</v>
      </c>
      <c r="L87" s="22" t="s">
        <v>17</v>
      </c>
      <c r="M87" s="104" t="s">
        <v>42</v>
      </c>
      <c r="N87" s="22"/>
      <c r="O87" s="22"/>
      <c r="P87" s="25"/>
    </row>
    <row r="88" spans="1:16" s="23" customFormat="1" ht="54">
      <c r="A88" s="730">
        <v>82</v>
      </c>
      <c r="B88" s="729" t="s">
        <v>20</v>
      </c>
      <c r="C88" s="33" t="s">
        <v>2066</v>
      </c>
      <c r="D88" s="635" t="s">
        <v>57</v>
      </c>
      <c r="E88" s="635" t="s">
        <v>2065</v>
      </c>
      <c r="F88" s="310">
        <v>8779200</v>
      </c>
      <c r="G88" s="440" t="s">
        <v>23</v>
      </c>
      <c r="H88" s="90" t="s">
        <v>58</v>
      </c>
      <c r="I88" s="765">
        <v>1399</v>
      </c>
      <c r="J88" s="86" t="s">
        <v>25</v>
      </c>
      <c r="K88" s="109">
        <v>0.03</v>
      </c>
      <c r="L88" s="22"/>
      <c r="M88" s="104" t="s">
        <v>42</v>
      </c>
      <c r="N88" s="22"/>
      <c r="O88" s="22"/>
      <c r="P88" s="25"/>
    </row>
    <row r="89" spans="1:16" s="23" customFormat="1" ht="50.45" customHeight="1">
      <c r="A89" s="730">
        <v>83</v>
      </c>
      <c r="B89" s="729" t="s">
        <v>20</v>
      </c>
      <c r="C89" s="33" t="s">
        <v>2064</v>
      </c>
      <c r="D89" s="635" t="s">
        <v>57</v>
      </c>
      <c r="E89" s="635" t="s">
        <v>2063</v>
      </c>
      <c r="F89" s="310">
        <v>4166400.0000000005</v>
      </c>
      <c r="G89" s="440" t="s">
        <v>23</v>
      </c>
      <c r="H89" s="90" t="s">
        <v>58</v>
      </c>
      <c r="I89" s="765">
        <v>1399</v>
      </c>
      <c r="J89" s="86" t="s">
        <v>25</v>
      </c>
      <c r="K89" s="109">
        <v>0.06</v>
      </c>
      <c r="L89" s="22"/>
      <c r="M89" s="104" t="s">
        <v>42</v>
      </c>
      <c r="N89" s="22"/>
      <c r="O89" s="22"/>
      <c r="P89" s="25"/>
    </row>
    <row r="90" spans="1:16" s="23" customFormat="1" ht="54">
      <c r="A90" s="730">
        <v>84</v>
      </c>
      <c r="B90" s="729" t="s">
        <v>20</v>
      </c>
      <c r="C90" s="33" t="s">
        <v>2062</v>
      </c>
      <c r="D90" s="635" t="s">
        <v>57</v>
      </c>
      <c r="E90" s="635" t="s">
        <v>2061</v>
      </c>
      <c r="F90" s="310">
        <v>9701760</v>
      </c>
      <c r="G90" s="440" t="s">
        <v>23</v>
      </c>
      <c r="H90" s="90" t="s">
        <v>58</v>
      </c>
      <c r="I90" s="765">
        <v>1399</v>
      </c>
      <c r="J90" s="86" t="s">
        <v>25</v>
      </c>
      <c r="K90" s="109">
        <v>0.2</v>
      </c>
      <c r="L90" s="22"/>
      <c r="M90" s="104" t="s">
        <v>42</v>
      </c>
      <c r="N90" s="22"/>
      <c r="O90" s="22"/>
      <c r="P90" s="25"/>
    </row>
    <row r="91" spans="1:16" s="23" customFormat="1" ht="54">
      <c r="A91" s="730">
        <v>85</v>
      </c>
      <c r="B91" s="729" t="s">
        <v>20</v>
      </c>
      <c r="C91" s="33" t="s">
        <v>2060</v>
      </c>
      <c r="D91" s="635" t="s">
        <v>57</v>
      </c>
      <c r="E91" s="635" t="s">
        <v>2059</v>
      </c>
      <c r="F91" s="310">
        <v>4047360.0000000005</v>
      </c>
      <c r="G91" s="440" t="s">
        <v>23</v>
      </c>
      <c r="H91" s="90" t="s">
        <v>58</v>
      </c>
      <c r="I91" s="765">
        <v>1399</v>
      </c>
      <c r="J91" s="86" t="s">
        <v>25</v>
      </c>
      <c r="K91" s="109">
        <v>0.18</v>
      </c>
      <c r="L91" s="22"/>
      <c r="M91" s="104" t="s">
        <v>42</v>
      </c>
      <c r="N91" s="22"/>
      <c r="O91" s="22"/>
      <c r="P91" s="25"/>
    </row>
    <row r="92" spans="1:16" s="23" customFormat="1" ht="54">
      <c r="A92" s="730">
        <v>86</v>
      </c>
      <c r="B92" s="729" t="s">
        <v>20</v>
      </c>
      <c r="C92" s="33" t="s">
        <v>2058</v>
      </c>
      <c r="D92" s="635" t="s">
        <v>57</v>
      </c>
      <c r="E92" s="635" t="s">
        <v>2057</v>
      </c>
      <c r="F92" s="310">
        <v>5580000</v>
      </c>
      <c r="G92" s="440" t="s">
        <v>23</v>
      </c>
      <c r="H92" s="90" t="s">
        <v>58</v>
      </c>
      <c r="I92" s="765">
        <v>1399</v>
      </c>
      <c r="J92" s="86" t="s">
        <v>25</v>
      </c>
      <c r="K92" s="109">
        <v>0</v>
      </c>
      <c r="L92" s="22"/>
      <c r="M92" s="104" t="s">
        <v>42</v>
      </c>
      <c r="N92" s="22"/>
      <c r="O92" s="22"/>
      <c r="P92" s="25"/>
    </row>
    <row r="93" spans="1:16" s="23" customFormat="1" ht="42.75" customHeight="1">
      <c r="A93" s="730">
        <v>87</v>
      </c>
      <c r="B93" s="729" t="s">
        <v>20</v>
      </c>
      <c r="C93" s="33"/>
      <c r="D93" s="635" t="s">
        <v>57</v>
      </c>
      <c r="E93" s="635" t="s">
        <v>2056</v>
      </c>
      <c r="F93" s="310">
        <v>51999.948000000004</v>
      </c>
      <c r="G93" s="440" t="s">
        <v>23</v>
      </c>
      <c r="H93" s="90" t="s">
        <v>58</v>
      </c>
      <c r="I93" s="765">
        <v>1399</v>
      </c>
      <c r="J93" s="86" t="s">
        <v>25</v>
      </c>
      <c r="K93" s="109">
        <v>1</v>
      </c>
      <c r="L93" s="27"/>
      <c r="M93" s="104" t="s">
        <v>33</v>
      </c>
      <c r="N93" s="22"/>
      <c r="O93" s="22"/>
      <c r="P93" s="25"/>
    </row>
    <row r="94" spans="1:16" s="23" customFormat="1" ht="67.150000000000006" customHeight="1">
      <c r="A94" s="730">
        <v>88</v>
      </c>
      <c r="B94" s="729" t="s">
        <v>20</v>
      </c>
      <c r="C94" s="796" t="s">
        <v>2055</v>
      </c>
      <c r="D94" s="635" t="s">
        <v>57</v>
      </c>
      <c r="E94" s="635" t="s">
        <v>2054</v>
      </c>
      <c r="F94" s="310">
        <v>2120772</v>
      </c>
      <c r="G94" s="440" t="s">
        <v>23</v>
      </c>
      <c r="H94" s="90" t="s">
        <v>58</v>
      </c>
      <c r="I94" s="765">
        <v>1399</v>
      </c>
      <c r="J94" s="86" t="s">
        <v>25</v>
      </c>
      <c r="K94" s="109">
        <v>1</v>
      </c>
      <c r="L94" s="27"/>
      <c r="M94" s="40" t="s">
        <v>71</v>
      </c>
      <c r="N94" s="22"/>
      <c r="O94" s="22"/>
      <c r="P94" s="25"/>
    </row>
    <row r="95" spans="1:16" s="23" customFormat="1" ht="64.5" customHeight="1">
      <c r="A95" s="730">
        <v>89</v>
      </c>
      <c r="B95" s="729" t="s">
        <v>20</v>
      </c>
      <c r="C95" s="797"/>
      <c r="D95" s="635" t="s">
        <v>57</v>
      </c>
      <c r="E95" s="635" t="s">
        <v>2053</v>
      </c>
      <c r="F95" s="310">
        <v>892800.00000000012</v>
      </c>
      <c r="G95" s="440" t="s">
        <v>23</v>
      </c>
      <c r="H95" s="90" t="s">
        <v>58</v>
      </c>
      <c r="I95" s="765">
        <v>1399</v>
      </c>
      <c r="J95" s="86" t="s">
        <v>25</v>
      </c>
      <c r="K95" s="109">
        <v>1</v>
      </c>
      <c r="L95" s="27"/>
      <c r="M95" s="40" t="s">
        <v>1116</v>
      </c>
      <c r="N95" s="22"/>
      <c r="O95" s="22"/>
      <c r="P95" s="25"/>
    </row>
    <row r="96" spans="1:16" s="23" customFormat="1" ht="72" customHeight="1">
      <c r="A96" s="730">
        <v>90</v>
      </c>
      <c r="B96" s="729" t="s">
        <v>20</v>
      </c>
      <c r="C96" s="797"/>
      <c r="D96" s="635" t="s">
        <v>57</v>
      </c>
      <c r="E96" s="85" t="s">
        <v>2052</v>
      </c>
      <c r="F96" s="310">
        <v>223200.00000000003</v>
      </c>
      <c r="G96" s="440" t="s">
        <v>23</v>
      </c>
      <c r="H96" s="90" t="s">
        <v>58</v>
      </c>
      <c r="I96" s="765">
        <v>1399</v>
      </c>
      <c r="J96" s="86" t="s">
        <v>25</v>
      </c>
      <c r="K96" s="109">
        <v>1</v>
      </c>
      <c r="L96" s="27"/>
      <c r="M96" s="40" t="s">
        <v>1116</v>
      </c>
      <c r="N96" s="22"/>
      <c r="O96" s="22"/>
      <c r="P96" s="25"/>
    </row>
    <row r="97" spans="1:17" s="23" customFormat="1" ht="66" customHeight="1">
      <c r="A97" s="730">
        <v>91</v>
      </c>
      <c r="B97" s="729" t="s">
        <v>20</v>
      </c>
      <c r="C97" s="798"/>
      <c r="D97" s="635" t="s">
        <v>57</v>
      </c>
      <c r="E97" s="635" t="s">
        <v>2051</v>
      </c>
      <c r="F97" s="310">
        <v>762600.00000000012</v>
      </c>
      <c r="G97" s="440" t="s">
        <v>23</v>
      </c>
      <c r="H97" s="90" t="s">
        <v>58</v>
      </c>
      <c r="I97" s="765">
        <v>1399</v>
      </c>
      <c r="J97" s="86" t="s">
        <v>25</v>
      </c>
      <c r="K97" s="109">
        <v>1</v>
      </c>
      <c r="L97" s="27"/>
      <c r="M97" s="40" t="s">
        <v>1116</v>
      </c>
      <c r="N97" s="22"/>
      <c r="O97" s="22"/>
      <c r="P97" s="25"/>
    </row>
    <row r="98" spans="1:17" ht="68.25" customHeight="1">
      <c r="A98" s="730">
        <v>92</v>
      </c>
      <c r="B98" s="729" t="s">
        <v>20</v>
      </c>
      <c r="C98" s="796" t="s">
        <v>2050</v>
      </c>
      <c r="D98" s="635" t="s">
        <v>59</v>
      </c>
      <c r="E98" s="33" t="s">
        <v>1027</v>
      </c>
      <c r="F98" s="310">
        <v>1130801</v>
      </c>
      <c r="G98" s="440" t="s">
        <v>23</v>
      </c>
      <c r="H98" s="90" t="s">
        <v>58</v>
      </c>
      <c r="I98" s="765">
        <v>1399</v>
      </c>
      <c r="J98" s="86" t="s">
        <v>25</v>
      </c>
      <c r="K98" s="109">
        <v>1</v>
      </c>
      <c r="L98" s="27"/>
      <c r="M98" s="40" t="s">
        <v>71</v>
      </c>
      <c r="N98" s="22"/>
      <c r="O98" s="22"/>
      <c r="P98" s="496"/>
      <c r="Q98" s="29"/>
    </row>
    <row r="99" spans="1:17" ht="84" customHeight="1">
      <c r="A99" s="730">
        <v>93</v>
      </c>
      <c r="B99" s="729" t="s">
        <v>20</v>
      </c>
      <c r="C99" s="797"/>
      <c r="D99" s="635" t="s">
        <v>59</v>
      </c>
      <c r="E99" s="33" t="s">
        <v>1094</v>
      </c>
      <c r="F99" s="310">
        <v>79880</v>
      </c>
      <c r="G99" s="440" t="s">
        <v>23</v>
      </c>
      <c r="H99" s="90" t="s">
        <v>58</v>
      </c>
      <c r="I99" s="765">
        <v>1399</v>
      </c>
      <c r="J99" s="86" t="s">
        <v>25</v>
      </c>
      <c r="K99" s="109">
        <v>1</v>
      </c>
      <c r="L99" s="27"/>
      <c r="M99" s="40" t="s">
        <v>71</v>
      </c>
      <c r="N99" s="22"/>
      <c r="O99" s="22"/>
      <c r="P99" s="496"/>
      <c r="Q99" s="29"/>
    </row>
    <row r="100" spans="1:17" ht="63" customHeight="1">
      <c r="A100" s="730">
        <v>94</v>
      </c>
      <c r="B100" s="729" t="s">
        <v>20</v>
      </c>
      <c r="C100" s="797"/>
      <c r="D100" s="635" t="s">
        <v>59</v>
      </c>
      <c r="E100" s="33" t="s">
        <v>1095</v>
      </c>
      <c r="F100" s="310">
        <v>101142</v>
      </c>
      <c r="G100" s="440" t="s">
        <v>23</v>
      </c>
      <c r="H100" s="90" t="s">
        <v>58</v>
      </c>
      <c r="I100" s="765">
        <v>1399</v>
      </c>
      <c r="J100" s="86" t="s">
        <v>25</v>
      </c>
      <c r="K100" s="109">
        <v>1</v>
      </c>
      <c r="L100" s="27"/>
      <c r="M100" s="40" t="s">
        <v>71</v>
      </c>
      <c r="N100" s="22"/>
      <c r="O100" s="22"/>
      <c r="P100" s="496"/>
      <c r="Q100" s="29"/>
    </row>
    <row r="101" spans="1:17" ht="61.5" customHeight="1">
      <c r="A101" s="730">
        <v>95</v>
      </c>
      <c r="B101" s="729" t="s">
        <v>20</v>
      </c>
      <c r="C101" s="797"/>
      <c r="D101" s="635" t="s">
        <v>59</v>
      </c>
      <c r="E101" s="33" t="s">
        <v>60</v>
      </c>
      <c r="F101" s="310">
        <v>585200</v>
      </c>
      <c r="G101" s="440" t="s">
        <v>23</v>
      </c>
      <c r="H101" s="90" t="s">
        <v>58</v>
      </c>
      <c r="I101" s="765">
        <v>1399</v>
      </c>
      <c r="J101" s="86" t="s">
        <v>25</v>
      </c>
      <c r="K101" s="109" t="s">
        <v>17</v>
      </c>
      <c r="L101" s="27" t="s">
        <v>35</v>
      </c>
      <c r="M101" s="40"/>
      <c r="N101" s="22" t="s">
        <v>1122</v>
      </c>
      <c r="O101" s="22" t="s">
        <v>2131</v>
      </c>
      <c r="P101" s="496"/>
      <c r="Q101" s="29"/>
    </row>
    <row r="102" spans="1:17" ht="54">
      <c r="A102" s="730">
        <v>96</v>
      </c>
      <c r="B102" s="729" t="s">
        <v>20</v>
      </c>
      <c r="C102" s="797"/>
      <c r="D102" s="635" t="s">
        <v>59</v>
      </c>
      <c r="E102" s="32" t="s">
        <v>61</v>
      </c>
      <c r="F102" s="310">
        <v>78027</v>
      </c>
      <c r="G102" s="440" t="s">
        <v>23</v>
      </c>
      <c r="H102" s="90" t="s">
        <v>58</v>
      </c>
      <c r="I102" s="765">
        <v>1399</v>
      </c>
      <c r="J102" s="86" t="s">
        <v>25</v>
      </c>
      <c r="K102" s="109" t="s">
        <v>17</v>
      </c>
      <c r="L102" s="27" t="s">
        <v>35</v>
      </c>
      <c r="M102" s="40"/>
      <c r="N102" s="22" t="s">
        <v>2049</v>
      </c>
      <c r="O102" s="22" t="s">
        <v>2131</v>
      </c>
      <c r="P102" s="496"/>
      <c r="Q102" s="29"/>
    </row>
    <row r="103" spans="1:17" ht="67.150000000000006" customHeight="1">
      <c r="A103" s="730">
        <v>97</v>
      </c>
      <c r="B103" s="729" t="s">
        <v>20</v>
      </c>
      <c r="C103" s="797"/>
      <c r="D103" s="635" t="s">
        <v>59</v>
      </c>
      <c r="E103" s="33" t="s">
        <v>1096</v>
      </c>
      <c r="F103" s="310">
        <v>3012610</v>
      </c>
      <c r="G103" s="440" t="s">
        <v>23</v>
      </c>
      <c r="H103" s="90" t="s">
        <v>58</v>
      </c>
      <c r="I103" s="765">
        <v>1399</v>
      </c>
      <c r="J103" s="86" t="s">
        <v>25</v>
      </c>
      <c r="K103" s="109">
        <v>1</v>
      </c>
      <c r="L103" s="27"/>
      <c r="M103" s="40" t="s">
        <v>71</v>
      </c>
      <c r="N103" s="22"/>
      <c r="O103" s="22"/>
      <c r="P103" s="496"/>
      <c r="Q103" s="29"/>
    </row>
    <row r="104" spans="1:17" ht="54">
      <c r="A104" s="730">
        <v>98</v>
      </c>
      <c r="B104" s="729" t="s">
        <v>20</v>
      </c>
      <c r="C104" s="797"/>
      <c r="D104" s="635" t="s">
        <v>59</v>
      </c>
      <c r="E104" s="635" t="s">
        <v>1028</v>
      </c>
      <c r="F104" s="310">
        <v>1986559</v>
      </c>
      <c r="G104" s="440" t="s">
        <v>23</v>
      </c>
      <c r="H104" s="90" t="s">
        <v>58</v>
      </c>
      <c r="I104" s="765">
        <v>1399</v>
      </c>
      <c r="J104" s="86" t="s">
        <v>25</v>
      </c>
      <c r="K104" s="109">
        <v>1</v>
      </c>
      <c r="L104" s="27"/>
      <c r="M104" s="40" t="s">
        <v>71</v>
      </c>
      <c r="N104" s="22"/>
      <c r="O104" s="22"/>
      <c r="P104" s="496"/>
      <c r="Q104" s="29"/>
    </row>
    <row r="105" spans="1:17" ht="54">
      <c r="A105" s="730">
        <v>99</v>
      </c>
      <c r="B105" s="729" t="s">
        <v>20</v>
      </c>
      <c r="C105" s="797"/>
      <c r="D105" s="635" t="s">
        <v>59</v>
      </c>
      <c r="E105" s="635" t="s">
        <v>1029</v>
      </c>
      <c r="F105" s="310">
        <v>565693</v>
      </c>
      <c r="G105" s="440" t="s">
        <v>23</v>
      </c>
      <c r="H105" s="90" t="s">
        <v>58</v>
      </c>
      <c r="I105" s="765">
        <v>1399</v>
      </c>
      <c r="J105" s="86" t="s">
        <v>25</v>
      </c>
      <c r="K105" s="109">
        <v>1</v>
      </c>
      <c r="L105" s="27"/>
      <c r="M105" s="40" t="s">
        <v>71</v>
      </c>
      <c r="N105" s="22"/>
      <c r="O105" s="22"/>
      <c r="P105" s="496"/>
      <c r="Q105" s="29"/>
    </row>
    <row r="106" spans="1:17" ht="54">
      <c r="A106" s="730">
        <v>100</v>
      </c>
      <c r="B106" s="729" t="s">
        <v>20</v>
      </c>
      <c r="C106" s="797"/>
      <c r="D106" s="635" t="s">
        <v>59</v>
      </c>
      <c r="E106" s="635" t="s">
        <v>2048</v>
      </c>
      <c r="F106" s="310">
        <v>21465</v>
      </c>
      <c r="G106" s="440" t="s">
        <v>23</v>
      </c>
      <c r="H106" s="90" t="s">
        <v>58</v>
      </c>
      <c r="I106" s="765">
        <v>1399</v>
      </c>
      <c r="J106" s="86" t="s">
        <v>25</v>
      </c>
      <c r="K106" s="109">
        <v>1</v>
      </c>
      <c r="L106" s="27"/>
      <c r="M106" s="40" t="s">
        <v>71</v>
      </c>
      <c r="N106" s="22"/>
      <c r="O106" s="22"/>
      <c r="P106" s="496"/>
      <c r="Q106" s="29"/>
    </row>
    <row r="107" spans="1:17" ht="54">
      <c r="A107" s="730">
        <v>101</v>
      </c>
      <c r="B107" s="729" t="s">
        <v>20</v>
      </c>
      <c r="C107" s="797"/>
      <c r="D107" s="635" t="s">
        <v>59</v>
      </c>
      <c r="E107" s="635" t="s">
        <v>1030</v>
      </c>
      <c r="F107" s="310">
        <v>19507</v>
      </c>
      <c r="G107" s="440" t="s">
        <v>23</v>
      </c>
      <c r="H107" s="90" t="s">
        <v>58</v>
      </c>
      <c r="I107" s="765">
        <v>1399</v>
      </c>
      <c r="J107" s="86" t="s">
        <v>25</v>
      </c>
      <c r="K107" s="109">
        <v>0.45</v>
      </c>
      <c r="L107" s="27"/>
      <c r="M107" s="40" t="s">
        <v>42</v>
      </c>
      <c r="N107" s="22"/>
      <c r="O107" s="22"/>
      <c r="P107" s="496"/>
      <c r="Q107" s="29"/>
    </row>
    <row r="108" spans="1:17" ht="54">
      <c r="A108" s="730">
        <v>102</v>
      </c>
      <c r="B108" s="729" t="s">
        <v>20</v>
      </c>
      <c r="C108" s="797"/>
      <c r="D108" s="635" t="s">
        <v>59</v>
      </c>
      <c r="E108" s="635" t="s">
        <v>1031</v>
      </c>
      <c r="F108" s="310">
        <v>4683239</v>
      </c>
      <c r="G108" s="440" t="s">
        <v>23</v>
      </c>
      <c r="H108" s="90" t="s">
        <v>58</v>
      </c>
      <c r="I108" s="765">
        <v>1399</v>
      </c>
      <c r="J108" s="86" t="s">
        <v>25</v>
      </c>
      <c r="K108" s="109">
        <v>1</v>
      </c>
      <c r="L108" s="27"/>
      <c r="M108" s="40" t="s">
        <v>71</v>
      </c>
      <c r="N108" s="22"/>
      <c r="O108" s="22"/>
      <c r="P108" s="496"/>
      <c r="Q108" s="29"/>
    </row>
    <row r="109" spans="1:17" ht="54">
      <c r="A109" s="730">
        <v>103</v>
      </c>
      <c r="B109" s="729" t="s">
        <v>20</v>
      </c>
      <c r="C109" s="797"/>
      <c r="D109" s="635" t="s">
        <v>59</v>
      </c>
      <c r="E109" s="635" t="s">
        <v>1032</v>
      </c>
      <c r="F109" s="310">
        <v>3850000</v>
      </c>
      <c r="G109" s="440" t="s">
        <v>23</v>
      </c>
      <c r="H109" s="90" t="s">
        <v>58</v>
      </c>
      <c r="I109" s="765">
        <v>1399</v>
      </c>
      <c r="J109" s="86" t="s">
        <v>25</v>
      </c>
      <c r="K109" s="109" t="s">
        <v>17</v>
      </c>
      <c r="L109" s="27" t="s">
        <v>35</v>
      </c>
      <c r="M109" s="40"/>
      <c r="N109" s="22" t="s">
        <v>2047</v>
      </c>
      <c r="O109" s="22" t="s">
        <v>1123</v>
      </c>
      <c r="P109" s="496"/>
      <c r="Q109" s="29"/>
    </row>
    <row r="110" spans="1:17" ht="54">
      <c r="A110" s="730">
        <v>104</v>
      </c>
      <c r="B110" s="729" t="s">
        <v>20</v>
      </c>
      <c r="C110" s="797"/>
      <c r="D110" s="635" t="s">
        <v>59</v>
      </c>
      <c r="E110" s="635" t="s">
        <v>1033</v>
      </c>
      <c r="F110" s="310">
        <v>1560533</v>
      </c>
      <c r="G110" s="440" t="s">
        <v>23</v>
      </c>
      <c r="H110" s="90" t="s">
        <v>58</v>
      </c>
      <c r="I110" s="765">
        <v>1399</v>
      </c>
      <c r="J110" s="86" t="s">
        <v>25</v>
      </c>
      <c r="K110" s="109">
        <v>1</v>
      </c>
      <c r="L110" s="27"/>
      <c r="M110" s="40" t="s">
        <v>71</v>
      </c>
      <c r="N110" s="22"/>
      <c r="O110" s="22"/>
      <c r="P110" s="496"/>
      <c r="Q110" s="29"/>
    </row>
    <row r="111" spans="1:17" ht="72">
      <c r="A111" s="730">
        <v>105</v>
      </c>
      <c r="B111" s="729" t="s">
        <v>20</v>
      </c>
      <c r="C111" s="797"/>
      <c r="D111" s="635" t="s">
        <v>59</v>
      </c>
      <c r="E111" s="635" t="s">
        <v>1098</v>
      </c>
      <c r="F111" s="310">
        <v>5842403</v>
      </c>
      <c r="G111" s="440" t="s">
        <v>23</v>
      </c>
      <c r="H111" s="90" t="s">
        <v>58</v>
      </c>
      <c r="I111" s="765">
        <v>1399</v>
      </c>
      <c r="J111" s="86" t="s">
        <v>25</v>
      </c>
      <c r="K111" s="109" t="s">
        <v>17</v>
      </c>
      <c r="L111" s="27" t="s">
        <v>35</v>
      </c>
      <c r="M111" s="40" t="s">
        <v>1885</v>
      </c>
      <c r="N111" s="22" t="s">
        <v>2132</v>
      </c>
      <c r="O111" s="22"/>
      <c r="P111" s="496"/>
      <c r="Q111" s="29"/>
    </row>
    <row r="112" spans="1:17" ht="54">
      <c r="A112" s="730">
        <v>106</v>
      </c>
      <c r="B112" s="729" t="s">
        <v>20</v>
      </c>
      <c r="C112" s="797"/>
      <c r="D112" s="635" t="s">
        <v>59</v>
      </c>
      <c r="E112" s="635" t="s">
        <v>1034</v>
      </c>
      <c r="F112" s="310">
        <v>6165667</v>
      </c>
      <c r="G112" s="440" t="s">
        <v>23</v>
      </c>
      <c r="H112" s="90" t="s">
        <v>58</v>
      </c>
      <c r="I112" s="765">
        <v>1399</v>
      </c>
      <c r="J112" s="86" t="s">
        <v>25</v>
      </c>
      <c r="K112" s="109">
        <v>1</v>
      </c>
      <c r="L112" s="27"/>
      <c r="M112" s="40" t="s">
        <v>71</v>
      </c>
      <c r="N112" s="22"/>
      <c r="O112" s="22"/>
      <c r="P112" s="496"/>
      <c r="Q112" s="29"/>
    </row>
    <row r="113" spans="1:17" ht="54">
      <c r="A113" s="730">
        <v>107</v>
      </c>
      <c r="B113" s="729" t="s">
        <v>20</v>
      </c>
      <c r="C113" s="797"/>
      <c r="D113" s="635" t="s">
        <v>59</v>
      </c>
      <c r="E113" s="635" t="s">
        <v>1035</v>
      </c>
      <c r="F113" s="310">
        <v>1925000</v>
      </c>
      <c r="G113" s="440" t="s">
        <v>23</v>
      </c>
      <c r="H113" s="90" t="s">
        <v>58</v>
      </c>
      <c r="I113" s="765">
        <v>1399</v>
      </c>
      <c r="J113" s="86" t="s">
        <v>25</v>
      </c>
      <c r="K113" s="109">
        <v>1</v>
      </c>
      <c r="L113" s="27"/>
      <c r="M113" s="40" t="s">
        <v>71</v>
      </c>
      <c r="N113" s="22"/>
      <c r="O113" s="22"/>
      <c r="P113" s="496"/>
      <c r="Q113" s="29"/>
    </row>
    <row r="114" spans="1:17" ht="54">
      <c r="A114" s="730">
        <v>108</v>
      </c>
      <c r="B114" s="729" t="s">
        <v>20</v>
      </c>
      <c r="C114" s="797"/>
      <c r="D114" s="635" t="s">
        <v>59</v>
      </c>
      <c r="E114" s="635" t="s">
        <v>2046</v>
      </c>
      <c r="F114" s="310">
        <v>1540000</v>
      </c>
      <c r="G114" s="440" t="s">
        <v>23</v>
      </c>
      <c r="H114" s="90" t="s">
        <v>58</v>
      </c>
      <c r="I114" s="765">
        <v>1399</v>
      </c>
      <c r="J114" s="86" t="s">
        <v>25</v>
      </c>
      <c r="K114" s="109">
        <v>1</v>
      </c>
      <c r="L114" s="27"/>
      <c r="M114" s="40" t="s">
        <v>71</v>
      </c>
      <c r="N114" s="22"/>
      <c r="O114" s="22"/>
      <c r="P114" s="496"/>
      <c r="Q114" s="29"/>
    </row>
    <row r="115" spans="1:17" ht="54">
      <c r="A115" s="730">
        <v>109</v>
      </c>
      <c r="B115" s="729" t="s">
        <v>20</v>
      </c>
      <c r="C115" s="797"/>
      <c r="D115" s="635" t="s">
        <v>59</v>
      </c>
      <c r="E115" s="635" t="s">
        <v>1037</v>
      </c>
      <c r="F115" s="310">
        <v>641667</v>
      </c>
      <c r="G115" s="440" t="s">
        <v>23</v>
      </c>
      <c r="H115" s="90" t="s">
        <v>58</v>
      </c>
      <c r="I115" s="765">
        <v>1399</v>
      </c>
      <c r="J115" s="86" t="s">
        <v>25</v>
      </c>
      <c r="K115" s="109">
        <v>0.5</v>
      </c>
      <c r="L115" s="27"/>
      <c r="M115" s="40" t="s">
        <v>42</v>
      </c>
      <c r="N115" s="22"/>
      <c r="O115" s="22"/>
      <c r="P115" s="496"/>
      <c r="Q115" s="29"/>
    </row>
    <row r="116" spans="1:17" ht="54">
      <c r="A116" s="730">
        <v>110</v>
      </c>
      <c r="B116" s="729" t="s">
        <v>20</v>
      </c>
      <c r="C116" s="797"/>
      <c r="D116" s="635" t="s">
        <v>59</v>
      </c>
      <c r="E116" s="635" t="s">
        <v>1038</v>
      </c>
      <c r="F116" s="310">
        <v>308000</v>
      </c>
      <c r="G116" s="440" t="s">
        <v>23</v>
      </c>
      <c r="H116" s="90" t="s">
        <v>58</v>
      </c>
      <c r="I116" s="765">
        <v>1399</v>
      </c>
      <c r="J116" s="86" t="s">
        <v>25</v>
      </c>
      <c r="K116" s="109">
        <v>1</v>
      </c>
      <c r="L116" s="27"/>
      <c r="M116" s="40" t="s">
        <v>71</v>
      </c>
      <c r="N116" s="22"/>
      <c r="O116" s="22"/>
      <c r="P116" s="496"/>
      <c r="Q116" s="29"/>
    </row>
    <row r="117" spans="1:17" ht="54">
      <c r="A117" s="730">
        <v>111</v>
      </c>
      <c r="B117" s="729" t="s">
        <v>20</v>
      </c>
      <c r="C117" s="797"/>
      <c r="D117" s="635" t="s">
        <v>59</v>
      </c>
      <c r="E117" s="635" t="s">
        <v>1039</v>
      </c>
      <c r="F117" s="310">
        <v>410749</v>
      </c>
      <c r="G117" s="440" t="s">
        <v>23</v>
      </c>
      <c r="H117" s="90" t="s">
        <v>58</v>
      </c>
      <c r="I117" s="765">
        <v>1399</v>
      </c>
      <c r="J117" s="86" t="s">
        <v>25</v>
      </c>
      <c r="K117" s="109">
        <v>1</v>
      </c>
      <c r="L117" s="27"/>
      <c r="M117" s="40" t="s">
        <v>71</v>
      </c>
      <c r="N117" s="22"/>
      <c r="O117" s="22"/>
      <c r="P117" s="496"/>
      <c r="Q117" s="29"/>
    </row>
    <row r="118" spans="1:17" ht="54">
      <c r="A118" s="730">
        <v>112</v>
      </c>
      <c r="B118" s="729" t="s">
        <v>20</v>
      </c>
      <c r="C118" s="797"/>
      <c r="D118" s="635" t="s">
        <v>59</v>
      </c>
      <c r="E118" s="635" t="s">
        <v>1040</v>
      </c>
      <c r="F118" s="310">
        <v>102656</v>
      </c>
      <c r="G118" s="440" t="s">
        <v>23</v>
      </c>
      <c r="H118" s="90" t="s">
        <v>58</v>
      </c>
      <c r="I118" s="765">
        <v>1399</v>
      </c>
      <c r="J118" s="86" t="s">
        <v>25</v>
      </c>
      <c r="K118" s="109">
        <v>1</v>
      </c>
      <c r="L118" s="27"/>
      <c r="M118" s="40" t="s">
        <v>71</v>
      </c>
      <c r="N118" s="22"/>
      <c r="O118" s="22"/>
      <c r="P118" s="496"/>
      <c r="Q118" s="29"/>
    </row>
    <row r="119" spans="1:17" ht="54">
      <c r="A119" s="730">
        <v>113</v>
      </c>
      <c r="B119" s="729" t="s">
        <v>20</v>
      </c>
      <c r="C119" s="797"/>
      <c r="D119" s="635" t="s">
        <v>59</v>
      </c>
      <c r="E119" s="635" t="s">
        <v>2045</v>
      </c>
      <c r="F119" s="310">
        <v>1031800</v>
      </c>
      <c r="G119" s="440" t="s">
        <v>23</v>
      </c>
      <c r="H119" s="90" t="s">
        <v>58</v>
      </c>
      <c r="I119" s="765">
        <v>1399</v>
      </c>
      <c r="J119" s="86" t="s">
        <v>25</v>
      </c>
      <c r="K119" s="109">
        <v>1</v>
      </c>
      <c r="L119" s="27"/>
      <c r="M119" s="40" t="s">
        <v>71</v>
      </c>
      <c r="N119" s="22"/>
      <c r="O119" s="22"/>
      <c r="P119" s="496"/>
      <c r="Q119" s="29"/>
    </row>
    <row r="120" spans="1:17" ht="54">
      <c r="A120" s="730">
        <v>114</v>
      </c>
      <c r="B120" s="729" t="s">
        <v>20</v>
      </c>
      <c r="C120" s="797"/>
      <c r="D120" s="635" t="s">
        <v>59</v>
      </c>
      <c r="E120" s="635" t="s">
        <v>1897</v>
      </c>
      <c r="F120" s="310">
        <v>820820</v>
      </c>
      <c r="G120" s="440" t="s">
        <v>23</v>
      </c>
      <c r="H120" s="90" t="s">
        <v>58</v>
      </c>
      <c r="I120" s="765">
        <v>1399</v>
      </c>
      <c r="J120" s="86" t="s">
        <v>25</v>
      </c>
      <c r="K120" s="109">
        <v>1</v>
      </c>
      <c r="L120" s="27"/>
      <c r="M120" s="40" t="s">
        <v>71</v>
      </c>
      <c r="N120" s="22"/>
      <c r="O120" s="22"/>
      <c r="P120" s="496"/>
      <c r="Q120" s="29"/>
    </row>
    <row r="121" spans="1:17" ht="144">
      <c r="A121" s="730">
        <v>115</v>
      </c>
      <c r="B121" s="729" t="s">
        <v>20</v>
      </c>
      <c r="C121" s="797"/>
      <c r="D121" s="635" t="s">
        <v>59</v>
      </c>
      <c r="E121" s="635" t="s">
        <v>1101</v>
      </c>
      <c r="F121" s="310">
        <v>30800000</v>
      </c>
      <c r="G121" s="440" t="s">
        <v>23</v>
      </c>
      <c r="H121" s="90" t="s">
        <v>58</v>
      </c>
      <c r="I121" s="765">
        <v>1399</v>
      </c>
      <c r="J121" s="86" t="s">
        <v>25</v>
      </c>
      <c r="K121" s="109">
        <v>0</v>
      </c>
      <c r="L121" s="27"/>
      <c r="M121" s="40" t="s">
        <v>2017</v>
      </c>
      <c r="N121" s="22" t="s">
        <v>2133</v>
      </c>
      <c r="O121" s="22" t="s">
        <v>1953</v>
      </c>
      <c r="P121" s="496"/>
      <c r="Q121" s="29"/>
    </row>
    <row r="122" spans="1:17" ht="54">
      <c r="A122" s="730">
        <v>116</v>
      </c>
      <c r="B122" s="729" t="s">
        <v>20</v>
      </c>
      <c r="C122" s="797"/>
      <c r="D122" s="635" t="s">
        <v>59</v>
      </c>
      <c r="E122" s="635" t="s">
        <v>62</v>
      </c>
      <c r="F122" s="310">
        <v>4297524</v>
      </c>
      <c r="G122" s="440" t="s">
        <v>23</v>
      </c>
      <c r="H122" s="90" t="s">
        <v>58</v>
      </c>
      <c r="I122" s="765">
        <v>1399</v>
      </c>
      <c r="J122" s="86" t="s">
        <v>25</v>
      </c>
      <c r="K122" s="109">
        <v>1</v>
      </c>
      <c r="L122" s="22"/>
      <c r="M122" s="40" t="s">
        <v>71</v>
      </c>
      <c r="N122" s="22"/>
      <c r="O122" s="22"/>
      <c r="P122" s="496"/>
      <c r="Q122" s="29"/>
    </row>
    <row r="123" spans="1:17" ht="54">
      <c r="A123" s="730">
        <v>117</v>
      </c>
      <c r="B123" s="729" t="s">
        <v>20</v>
      </c>
      <c r="C123" s="797"/>
      <c r="D123" s="635" t="s">
        <v>59</v>
      </c>
      <c r="E123" s="635" t="s">
        <v>1042</v>
      </c>
      <c r="F123" s="310">
        <v>1327586</v>
      </c>
      <c r="G123" s="440" t="s">
        <v>23</v>
      </c>
      <c r="H123" s="90" t="s">
        <v>58</v>
      </c>
      <c r="I123" s="765">
        <v>1399</v>
      </c>
      <c r="J123" s="86" t="s">
        <v>25</v>
      </c>
      <c r="K123" s="109">
        <v>1</v>
      </c>
      <c r="L123" s="22"/>
      <c r="M123" s="40" t="s">
        <v>71</v>
      </c>
      <c r="N123" s="22"/>
      <c r="O123" s="22"/>
      <c r="P123" s="496"/>
      <c r="Q123" s="29"/>
    </row>
    <row r="124" spans="1:17" ht="54">
      <c r="A124" s="730">
        <v>118</v>
      </c>
      <c r="B124" s="729" t="s">
        <v>20</v>
      </c>
      <c r="C124" s="797"/>
      <c r="D124" s="635" t="s">
        <v>59</v>
      </c>
      <c r="E124" s="635" t="s">
        <v>63</v>
      </c>
      <c r="F124" s="310">
        <v>1540000</v>
      </c>
      <c r="G124" s="440" t="s">
        <v>23</v>
      </c>
      <c r="H124" s="90" t="s">
        <v>58</v>
      </c>
      <c r="I124" s="765">
        <v>1399</v>
      </c>
      <c r="J124" s="86" t="s">
        <v>25</v>
      </c>
      <c r="K124" s="109"/>
      <c r="L124" s="27"/>
      <c r="M124" s="40" t="s">
        <v>2017</v>
      </c>
      <c r="N124" s="22"/>
      <c r="O124" s="22"/>
      <c r="P124" s="496"/>
      <c r="Q124" s="29"/>
    </row>
    <row r="125" spans="1:17" ht="54">
      <c r="A125" s="730">
        <v>119</v>
      </c>
      <c r="B125" s="729" t="s">
        <v>20</v>
      </c>
      <c r="C125" s="797"/>
      <c r="D125" s="635" t="s">
        <v>59</v>
      </c>
      <c r="E125" s="635" t="s">
        <v>1043</v>
      </c>
      <c r="F125" s="310">
        <v>39655000</v>
      </c>
      <c r="G125" s="440" t="s">
        <v>23</v>
      </c>
      <c r="H125" s="90" t="s">
        <v>58</v>
      </c>
      <c r="I125" s="765">
        <v>1399</v>
      </c>
      <c r="J125" s="86" t="s">
        <v>25</v>
      </c>
      <c r="K125" s="109" t="s">
        <v>17</v>
      </c>
      <c r="L125" s="27" t="s">
        <v>35</v>
      </c>
      <c r="M125" s="40"/>
      <c r="N125" s="22" t="s">
        <v>2044</v>
      </c>
      <c r="O125" s="22" t="s">
        <v>2134</v>
      </c>
      <c r="P125" s="496"/>
      <c r="Q125" s="29"/>
    </row>
    <row r="126" spans="1:17" ht="54">
      <c r="A126" s="730">
        <v>120</v>
      </c>
      <c r="B126" s="729" t="s">
        <v>20</v>
      </c>
      <c r="C126" s="797"/>
      <c r="D126" s="635" t="s">
        <v>59</v>
      </c>
      <c r="E126" s="635" t="s">
        <v>2043</v>
      </c>
      <c r="F126" s="310">
        <v>11986091</v>
      </c>
      <c r="G126" s="440" t="s">
        <v>23</v>
      </c>
      <c r="H126" s="90" t="s">
        <v>58</v>
      </c>
      <c r="I126" s="765">
        <v>1399</v>
      </c>
      <c r="J126" s="86" t="s">
        <v>25</v>
      </c>
      <c r="K126" s="109">
        <v>0.7</v>
      </c>
      <c r="L126" s="27"/>
      <c r="M126" s="40" t="s">
        <v>42</v>
      </c>
      <c r="N126" s="22"/>
      <c r="O126" s="22"/>
      <c r="P126" s="496"/>
      <c r="Q126" s="29"/>
    </row>
    <row r="127" spans="1:17" ht="54">
      <c r="A127" s="730">
        <v>121</v>
      </c>
      <c r="B127" s="729" t="s">
        <v>20</v>
      </c>
      <c r="C127" s="797"/>
      <c r="D127" s="635" t="s">
        <v>59</v>
      </c>
      <c r="E127" s="635" t="s">
        <v>1044</v>
      </c>
      <c r="F127" s="310">
        <v>1232000</v>
      </c>
      <c r="G127" s="440" t="s">
        <v>23</v>
      </c>
      <c r="H127" s="90" t="s">
        <v>58</v>
      </c>
      <c r="I127" s="765">
        <v>1399</v>
      </c>
      <c r="J127" s="86" t="s">
        <v>25</v>
      </c>
      <c r="K127" s="109">
        <v>0</v>
      </c>
      <c r="L127" s="27" t="s">
        <v>35</v>
      </c>
      <c r="M127" s="40"/>
      <c r="N127" s="22" t="s">
        <v>1952</v>
      </c>
      <c r="O127" s="22" t="s">
        <v>2042</v>
      </c>
      <c r="P127" s="496"/>
      <c r="Q127" s="29"/>
    </row>
    <row r="128" spans="1:17" ht="54">
      <c r="A128" s="730">
        <v>122</v>
      </c>
      <c r="B128" s="729" t="s">
        <v>20</v>
      </c>
      <c r="C128" s="797"/>
      <c r="D128" s="635" t="s">
        <v>59</v>
      </c>
      <c r="E128" s="635" t="s">
        <v>1045</v>
      </c>
      <c r="F128" s="310">
        <v>640640</v>
      </c>
      <c r="G128" s="440" t="s">
        <v>23</v>
      </c>
      <c r="H128" s="90" t="s">
        <v>58</v>
      </c>
      <c r="I128" s="765">
        <v>1399</v>
      </c>
      <c r="J128" s="86" t="s">
        <v>25</v>
      </c>
      <c r="K128" s="109" t="s">
        <v>17</v>
      </c>
      <c r="L128" s="27" t="s">
        <v>35</v>
      </c>
      <c r="M128" s="780"/>
      <c r="N128" s="40" t="s">
        <v>1942</v>
      </c>
      <c r="O128" s="22" t="s">
        <v>216</v>
      </c>
      <c r="P128" s="496"/>
      <c r="Q128" s="29"/>
    </row>
    <row r="129" spans="1:17" ht="54">
      <c r="A129" s="730">
        <v>123</v>
      </c>
      <c r="B129" s="729" t="s">
        <v>20</v>
      </c>
      <c r="C129" s="797"/>
      <c r="D129" s="635" t="s">
        <v>59</v>
      </c>
      <c r="E129" s="635" t="s">
        <v>64</v>
      </c>
      <c r="F129" s="310">
        <v>2640000</v>
      </c>
      <c r="G129" s="440" t="s">
        <v>23</v>
      </c>
      <c r="H129" s="90" t="s">
        <v>58</v>
      </c>
      <c r="I129" s="765">
        <v>1399</v>
      </c>
      <c r="J129" s="86" t="s">
        <v>25</v>
      </c>
      <c r="K129" s="109">
        <v>1</v>
      </c>
      <c r="L129" s="27"/>
      <c r="M129" s="40" t="s">
        <v>71</v>
      </c>
      <c r="N129" s="22"/>
      <c r="O129" s="22"/>
      <c r="P129" s="496"/>
      <c r="Q129" s="29"/>
    </row>
    <row r="130" spans="1:17" ht="54">
      <c r="A130" s="730">
        <v>124</v>
      </c>
      <c r="B130" s="729" t="s">
        <v>20</v>
      </c>
      <c r="C130" s="797"/>
      <c r="D130" s="635" t="s">
        <v>59</v>
      </c>
      <c r="E130" s="635" t="s">
        <v>65</v>
      </c>
      <c r="F130" s="310">
        <v>7150000</v>
      </c>
      <c r="G130" s="440" t="s">
        <v>23</v>
      </c>
      <c r="H130" s="90" t="s">
        <v>58</v>
      </c>
      <c r="I130" s="765">
        <v>1399</v>
      </c>
      <c r="J130" s="86" t="s">
        <v>25</v>
      </c>
      <c r="K130" s="109">
        <v>1</v>
      </c>
      <c r="L130" s="27"/>
      <c r="M130" s="40" t="s">
        <v>71</v>
      </c>
      <c r="N130" s="22"/>
      <c r="O130" s="22"/>
      <c r="P130" s="496"/>
      <c r="Q130" s="29"/>
    </row>
    <row r="131" spans="1:17" ht="54">
      <c r="A131" s="730">
        <v>125</v>
      </c>
      <c r="B131" s="729" t="s">
        <v>20</v>
      </c>
      <c r="C131" s="797"/>
      <c r="D131" s="635" t="s">
        <v>59</v>
      </c>
      <c r="E131" s="635" t="s">
        <v>419</v>
      </c>
      <c r="F131" s="310">
        <v>11370198</v>
      </c>
      <c r="G131" s="440" t="s">
        <v>23</v>
      </c>
      <c r="H131" s="90" t="s">
        <v>58</v>
      </c>
      <c r="I131" s="765">
        <v>1399</v>
      </c>
      <c r="J131" s="86" t="s">
        <v>25</v>
      </c>
      <c r="K131" s="109">
        <v>0</v>
      </c>
      <c r="L131" s="27"/>
      <c r="M131" s="22" t="s">
        <v>2017</v>
      </c>
      <c r="P131" s="496"/>
      <c r="Q131" s="29"/>
    </row>
    <row r="132" spans="1:17" ht="72">
      <c r="A132" s="730">
        <v>126</v>
      </c>
      <c r="B132" s="729" t="s">
        <v>20</v>
      </c>
      <c r="C132" s="797"/>
      <c r="D132" s="635" t="s">
        <v>59</v>
      </c>
      <c r="E132" s="635" t="s">
        <v>2041</v>
      </c>
      <c r="F132" s="310">
        <v>9394000</v>
      </c>
      <c r="G132" s="440" t="s">
        <v>23</v>
      </c>
      <c r="H132" s="90" t="s">
        <v>58</v>
      </c>
      <c r="I132" s="765">
        <v>1399</v>
      </c>
      <c r="J132" s="86" t="s">
        <v>25</v>
      </c>
      <c r="K132" s="109">
        <v>0</v>
      </c>
      <c r="L132" s="27" t="s">
        <v>35</v>
      </c>
      <c r="M132" s="40"/>
      <c r="N132" s="22" t="s">
        <v>2135</v>
      </c>
      <c r="O132" s="22" t="s">
        <v>2136</v>
      </c>
      <c r="P132" s="496"/>
      <c r="Q132" s="29"/>
    </row>
    <row r="133" spans="1:17" ht="54">
      <c r="A133" s="730">
        <v>127</v>
      </c>
      <c r="B133" s="729" t="s">
        <v>20</v>
      </c>
      <c r="C133" s="798"/>
      <c r="D133" s="635" t="s">
        <v>59</v>
      </c>
      <c r="E133" s="635" t="s">
        <v>66</v>
      </c>
      <c r="F133" s="310">
        <v>1348270</v>
      </c>
      <c r="G133" s="440" t="s">
        <v>23</v>
      </c>
      <c r="H133" s="90" t="s">
        <v>58</v>
      </c>
      <c r="I133" s="765">
        <v>1399</v>
      </c>
      <c r="J133" s="86" t="s">
        <v>25</v>
      </c>
      <c r="K133" s="109">
        <v>1</v>
      </c>
      <c r="L133" s="27"/>
      <c r="M133" s="40" t="s">
        <v>71</v>
      </c>
      <c r="N133" s="22"/>
      <c r="O133" s="22"/>
      <c r="P133" s="496"/>
      <c r="Q133" s="29"/>
    </row>
    <row r="134" spans="1:17" s="34" customFormat="1" ht="54">
      <c r="A134" s="730">
        <v>128</v>
      </c>
      <c r="B134" s="729" t="s">
        <v>20</v>
      </c>
      <c r="C134" s="722"/>
      <c r="D134" s="729" t="s">
        <v>67</v>
      </c>
      <c r="E134" s="729" t="s">
        <v>2040</v>
      </c>
      <c r="F134" s="311">
        <v>0</v>
      </c>
      <c r="G134" s="731" t="s">
        <v>23</v>
      </c>
      <c r="H134" s="6" t="s">
        <v>24</v>
      </c>
      <c r="I134" s="766">
        <v>1401</v>
      </c>
      <c r="J134" s="724" t="s">
        <v>68</v>
      </c>
      <c r="K134" s="238" t="s">
        <v>17</v>
      </c>
      <c r="L134" s="27" t="s">
        <v>2039</v>
      </c>
      <c r="M134" s="728" t="s">
        <v>17</v>
      </c>
      <c r="N134" s="728" t="s">
        <v>2038</v>
      </c>
      <c r="O134" s="728" t="s">
        <v>2037</v>
      </c>
      <c r="P134" s="251"/>
    </row>
    <row r="135" spans="1:17" s="34" customFormat="1" ht="115.5" customHeight="1">
      <c r="A135" s="730">
        <v>129</v>
      </c>
      <c r="B135" s="729" t="s">
        <v>20</v>
      </c>
      <c r="C135" s="722" t="s">
        <v>2036</v>
      </c>
      <c r="D135" s="729" t="s">
        <v>2014</v>
      </c>
      <c r="E135" s="635" t="s">
        <v>2035</v>
      </c>
      <c r="F135" s="768">
        <v>3344102</v>
      </c>
      <c r="G135" s="440" t="s">
        <v>23</v>
      </c>
      <c r="H135" s="769" t="s">
        <v>2012</v>
      </c>
      <c r="I135" s="765">
        <v>1399</v>
      </c>
      <c r="J135" s="86" t="s">
        <v>1990</v>
      </c>
      <c r="K135" s="109">
        <v>1</v>
      </c>
      <c r="L135" s="27"/>
      <c r="M135" s="109" t="s">
        <v>33</v>
      </c>
      <c r="N135" s="728"/>
      <c r="O135" s="728"/>
      <c r="P135" s="251"/>
    </row>
    <row r="136" spans="1:17" s="34" customFormat="1" ht="85.5" customHeight="1">
      <c r="A136" s="730">
        <v>130</v>
      </c>
      <c r="B136" s="729" t="s">
        <v>20</v>
      </c>
      <c r="C136" s="722" t="s">
        <v>2032</v>
      </c>
      <c r="D136" s="729" t="s">
        <v>2014</v>
      </c>
      <c r="E136" s="635" t="s">
        <v>2034</v>
      </c>
      <c r="F136" s="768">
        <v>12475398</v>
      </c>
      <c r="G136" s="440" t="s">
        <v>23</v>
      </c>
      <c r="H136" s="769" t="s">
        <v>2012</v>
      </c>
      <c r="I136" s="765">
        <v>1399</v>
      </c>
      <c r="J136" s="86" t="s">
        <v>1990</v>
      </c>
      <c r="K136" s="109">
        <v>1</v>
      </c>
      <c r="L136" s="27"/>
      <c r="M136" s="109" t="s">
        <v>33</v>
      </c>
      <c r="N136" s="728"/>
      <c r="O136" s="728"/>
      <c r="P136" s="251"/>
    </row>
    <row r="137" spans="1:17" s="34" customFormat="1" ht="78.75" customHeight="1">
      <c r="A137" s="730">
        <v>131</v>
      </c>
      <c r="B137" s="729" t="s">
        <v>20</v>
      </c>
      <c r="C137" s="722" t="s">
        <v>2032</v>
      </c>
      <c r="D137" s="729" t="s">
        <v>2014</v>
      </c>
      <c r="E137" s="729" t="s">
        <v>2033</v>
      </c>
      <c r="F137" s="768">
        <v>1848150</v>
      </c>
      <c r="G137" s="440" t="s">
        <v>23</v>
      </c>
      <c r="H137" s="730" t="s">
        <v>2012</v>
      </c>
      <c r="I137" s="765">
        <v>1399</v>
      </c>
      <c r="J137" s="86" t="s">
        <v>1990</v>
      </c>
      <c r="K137" s="109">
        <v>0.1</v>
      </c>
      <c r="L137" s="27"/>
      <c r="M137" s="22" t="s">
        <v>78</v>
      </c>
      <c r="N137" s="728"/>
      <c r="O137" s="728"/>
      <c r="P137" s="251"/>
    </row>
    <row r="138" spans="1:17" s="34" customFormat="1" ht="70.5" customHeight="1">
      <c r="A138" s="730">
        <v>132</v>
      </c>
      <c r="B138" s="729" t="s">
        <v>20</v>
      </c>
      <c r="C138" s="722" t="s">
        <v>2032</v>
      </c>
      <c r="D138" s="729" t="s">
        <v>2014</v>
      </c>
      <c r="E138" s="729" t="s">
        <v>2031</v>
      </c>
      <c r="F138" s="768">
        <v>1698340</v>
      </c>
      <c r="G138" s="440" t="s">
        <v>23</v>
      </c>
      <c r="H138" s="730" t="s">
        <v>2012</v>
      </c>
      <c r="I138" s="765">
        <v>1399</v>
      </c>
      <c r="J138" s="86" t="s">
        <v>1990</v>
      </c>
      <c r="K138" s="109">
        <v>0.1</v>
      </c>
      <c r="L138" s="27"/>
      <c r="M138" s="22" t="s">
        <v>78</v>
      </c>
      <c r="N138" s="728"/>
      <c r="O138" s="728"/>
      <c r="P138" s="251"/>
    </row>
    <row r="139" spans="1:17" s="34" customFormat="1" ht="80.25" customHeight="1">
      <c r="A139" s="730">
        <v>133</v>
      </c>
      <c r="B139" s="729" t="s">
        <v>20</v>
      </c>
      <c r="C139" s="722" t="s">
        <v>2030</v>
      </c>
      <c r="D139" s="729" t="s">
        <v>2014</v>
      </c>
      <c r="E139" s="729" t="s">
        <v>2029</v>
      </c>
      <c r="F139" s="768">
        <v>10809900</v>
      </c>
      <c r="G139" s="440" t="s">
        <v>23</v>
      </c>
      <c r="H139" s="730" t="s">
        <v>2012</v>
      </c>
      <c r="I139" s="765">
        <v>1399</v>
      </c>
      <c r="J139" s="86" t="s">
        <v>1990</v>
      </c>
      <c r="K139" s="109">
        <v>1</v>
      </c>
      <c r="L139" s="27"/>
      <c r="M139" s="109" t="s">
        <v>370</v>
      </c>
      <c r="N139" s="728"/>
      <c r="O139" s="728"/>
      <c r="P139" s="251"/>
    </row>
    <row r="140" spans="1:17" s="34" customFormat="1" ht="76.5" customHeight="1">
      <c r="A140" s="730">
        <v>134</v>
      </c>
      <c r="B140" s="729" t="s">
        <v>20</v>
      </c>
      <c r="C140" s="722" t="s">
        <v>2028</v>
      </c>
      <c r="D140" s="729" t="s">
        <v>2014</v>
      </c>
      <c r="E140" s="635" t="s">
        <v>2027</v>
      </c>
      <c r="F140" s="768">
        <v>1229670</v>
      </c>
      <c r="G140" s="731" t="s">
        <v>23</v>
      </c>
      <c r="H140" s="82" t="s">
        <v>2012</v>
      </c>
      <c r="I140" s="766">
        <v>1399</v>
      </c>
      <c r="J140" s="724" t="s">
        <v>1990</v>
      </c>
      <c r="K140" s="109">
        <v>1</v>
      </c>
      <c r="L140" s="228"/>
      <c r="M140" s="109" t="s">
        <v>370</v>
      </c>
      <c r="N140" s="728"/>
      <c r="O140" s="728"/>
      <c r="P140" s="251"/>
    </row>
    <row r="141" spans="1:17" s="34" customFormat="1" ht="74.25" customHeight="1">
      <c r="A141" s="730">
        <v>135</v>
      </c>
      <c r="B141" s="729" t="s">
        <v>20</v>
      </c>
      <c r="C141" s="722" t="s">
        <v>2026</v>
      </c>
      <c r="D141" s="729" t="s">
        <v>2014</v>
      </c>
      <c r="E141" s="635" t="s">
        <v>2025</v>
      </c>
      <c r="F141" s="768">
        <v>5914126</v>
      </c>
      <c r="G141" s="731" t="s">
        <v>23</v>
      </c>
      <c r="H141" s="82" t="s">
        <v>2012</v>
      </c>
      <c r="I141" s="766">
        <v>1399</v>
      </c>
      <c r="J141" s="724" t="s">
        <v>1990</v>
      </c>
      <c r="K141" s="109">
        <v>0</v>
      </c>
      <c r="L141" s="27"/>
      <c r="M141" s="109" t="s">
        <v>2017</v>
      </c>
      <c r="N141" s="22"/>
      <c r="O141" s="22"/>
      <c r="P141" s="440" t="s">
        <v>2016</v>
      </c>
    </row>
    <row r="142" spans="1:17" s="34" customFormat="1" ht="80.45" customHeight="1">
      <c r="A142" s="730">
        <v>136</v>
      </c>
      <c r="B142" s="729" t="s">
        <v>20</v>
      </c>
      <c r="C142" s="722" t="s">
        <v>2024</v>
      </c>
      <c r="D142" s="729" t="s">
        <v>2014</v>
      </c>
      <c r="E142" s="729" t="s">
        <v>2023</v>
      </c>
      <c r="F142" s="242">
        <v>2800000</v>
      </c>
      <c r="G142" s="731" t="s">
        <v>23</v>
      </c>
      <c r="H142" s="82" t="s">
        <v>2012</v>
      </c>
      <c r="I142" s="766">
        <v>1399</v>
      </c>
      <c r="J142" s="724" t="s">
        <v>1990</v>
      </c>
      <c r="K142" s="238"/>
      <c r="L142" s="238" t="s">
        <v>3</v>
      </c>
      <c r="M142" s="40"/>
      <c r="N142" s="109" t="s">
        <v>2022</v>
      </c>
      <c r="O142" s="728"/>
      <c r="P142" s="238"/>
    </row>
    <row r="143" spans="1:17" s="34" customFormat="1" ht="85.9" customHeight="1">
      <c r="A143" s="730">
        <v>137</v>
      </c>
      <c r="B143" s="729" t="s">
        <v>20</v>
      </c>
      <c r="C143" s="722" t="s">
        <v>2021</v>
      </c>
      <c r="D143" s="729" t="s">
        <v>2014</v>
      </c>
      <c r="E143" s="729" t="s">
        <v>2020</v>
      </c>
      <c r="F143" s="242">
        <v>3500000</v>
      </c>
      <c r="G143" s="731" t="s">
        <v>23</v>
      </c>
      <c r="H143" s="82" t="s">
        <v>2012</v>
      </c>
      <c r="I143" s="766">
        <v>1399</v>
      </c>
      <c r="J143" s="724" t="s">
        <v>1990</v>
      </c>
      <c r="K143" s="238">
        <v>0</v>
      </c>
      <c r="L143" s="238"/>
      <c r="M143" s="109" t="s">
        <v>2017</v>
      </c>
      <c r="N143" s="728"/>
      <c r="O143" s="728"/>
      <c r="P143" s="238"/>
    </row>
    <row r="144" spans="1:17" s="34" customFormat="1" ht="76.5" customHeight="1">
      <c r="A144" s="730">
        <v>138</v>
      </c>
      <c r="B144" s="729" t="s">
        <v>20</v>
      </c>
      <c r="C144" s="722" t="s">
        <v>2019</v>
      </c>
      <c r="D144" s="729" t="s">
        <v>2014</v>
      </c>
      <c r="E144" s="729" t="s">
        <v>2018</v>
      </c>
      <c r="F144" s="242">
        <v>5723676</v>
      </c>
      <c r="G144" s="731" t="s">
        <v>23</v>
      </c>
      <c r="H144" s="82" t="s">
        <v>2012</v>
      </c>
      <c r="I144" s="766">
        <v>1399</v>
      </c>
      <c r="J144" s="724" t="s">
        <v>1990</v>
      </c>
      <c r="K144" s="238">
        <v>0</v>
      </c>
      <c r="L144" s="238"/>
      <c r="M144" s="238" t="s">
        <v>2017</v>
      </c>
      <c r="N144" s="728"/>
      <c r="O144" s="728"/>
      <c r="P144" s="440" t="s">
        <v>2016</v>
      </c>
    </row>
    <row r="145" spans="1:16" s="34" customFormat="1" ht="75.75" customHeight="1">
      <c r="A145" s="730">
        <v>139</v>
      </c>
      <c r="B145" s="729" t="s">
        <v>20</v>
      </c>
      <c r="C145" s="722" t="s">
        <v>2015</v>
      </c>
      <c r="D145" s="729" t="s">
        <v>2014</v>
      </c>
      <c r="E145" s="729" t="s">
        <v>2013</v>
      </c>
      <c r="F145" s="242">
        <v>9886100</v>
      </c>
      <c r="G145" s="731" t="s">
        <v>23</v>
      </c>
      <c r="H145" s="82" t="s">
        <v>2012</v>
      </c>
      <c r="I145" s="766">
        <v>1399</v>
      </c>
      <c r="J145" s="724" t="s">
        <v>1990</v>
      </c>
      <c r="K145" s="109">
        <v>0.2</v>
      </c>
      <c r="L145" s="228"/>
      <c r="M145" s="238" t="s">
        <v>70</v>
      </c>
      <c r="N145" s="728"/>
      <c r="O145" s="728"/>
      <c r="P145" s="251"/>
    </row>
    <row r="146" spans="1:16" s="34" customFormat="1" ht="75.75" customHeight="1">
      <c r="A146" s="730">
        <v>140</v>
      </c>
      <c r="B146" s="729" t="s">
        <v>20</v>
      </c>
      <c r="C146" s="722" t="s">
        <v>1993</v>
      </c>
      <c r="D146" s="731" t="s">
        <v>1124</v>
      </c>
      <c r="E146" s="729" t="s">
        <v>2011</v>
      </c>
      <c r="F146" s="242" t="s">
        <v>2010</v>
      </c>
      <c r="G146" s="731" t="s">
        <v>1125</v>
      </c>
      <c r="H146" s="767" t="s">
        <v>69</v>
      </c>
      <c r="I146" s="766">
        <v>1399</v>
      </c>
      <c r="J146" s="724" t="s">
        <v>1990</v>
      </c>
      <c r="K146" s="109">
        <v>1</v>
      </c>
      <c r="L146" s="228"/>
      <c r="M146" s="728" t="s">
        <v>33</v>
      </c>
      <c r="N146" s="728"/>
      <c r="O146" s="728"/>
      <c r="P146" s="22"/>
    </row>
    <row r="147" spans="1:16" s="34" customFormat="1" ht="75.75" customHeight="1">
      <c r="A147" s="730">
        <v>141</v>
      </c>
      <c r="B147" s="729" t="s">
        <v>20</v>
      </c>
      <c r="C147" s="722" t="s">
        <v>1993</v>
      </c>
      <c r="D147" s="731" t="s">
        <v>1124</v>
      </c>
      <c r="E147" s="729" t="s">
        <v>2009</v>
      </c>
      <c r="F147" s="242" t="s">
        <v>2008</v>
      </c>
      <c r="G147" s="731" t="s">
        <v>1125</v>
      </c>
      <c r="H147" s="767" t="s">
        <v>69</v>
      </c>
      <c r="I147" s="766">
        <v>1399</v>
      </c>
      <c r="J147" s="724" t="s">
        <v>1990</v>
      </c>
      <c r="K147" s="109">
        <v>1</v>
      </c>
      <c r="L147" s="27"/>
      <c r="M147" s="728" t="s">
        <v>33</v>
      </c>
      <c r="N147" s="22"/>
      <c r="O147" s="22"/>
      <c r="P147" s="22"/>
    </row>
    <row r="148" spans="1:16" s="34" customFormat="1" ht="75.75" customHeight="1">
      <c r="A148" s="730">
        <v>142</v>
      </c>
      <c r="B148" s="729" t="s">
        <v>20</v>
      </c>
      <c r="C148" s="722" t="s">
        <v>1993</v>
      </c>
      <c r="D148" s="731" t="s">
        <v>1124</v>
      </c>
      <c r="E148" s="729" t="s">
        <v>2007</v>
      </c>
      <c r="F148" s="242" t="s">
        <v>2006</v>
      </c>
      <c r="G148" s="731" t="s">
        <v>1125</v>
      </c>
      <c r="H148" s="767" t="s">
        <v>69</v>
      </c>
      <c r="I148" s="766">
        <v>1399</v>
      </c>
      <c r="J148" s="724" t="s">
        <v>1990</v>
      </c>
      <c r="K148" s="238" t="s">
        <v>3</v>
      </c>
      <c r="L148" s="228"/>
      <c r="M148" s="314"/>
      <c r="N148" s="728" t="s">
        <v>2005</v>
      </c>
      <c r="O148" s="728" t="s">
        <v>2004</v>
      </c>
      <c r="P148" s="251"/>
    </row>
    <row r="149" spans="1:16" s="34" customFormat="1" ht="75.75" customHeight="1">
      <c r="A149" s="730">
        <v>143</v>
      </c>
      <c r="B149" s="729" t="s">
        <v>20</v>
      </c>
      <c r="C149" s="722" t="s">
        <v>1993</v>
      </c>
      <c r="D149" s="731" t="s">
        <v>1124</v>
      </c>
      <c r="E149" s="729" t="s">
        <v>2003</v>
      </c>
      <c r="F149" s="242" t="s">
        <v>2002</v>
      </c>
      <c r="G149" s="731" t="s">
        <v>1125</v>
      </c>
      <c r="H149" s="767" t="s">
        <v>69</v>
      </c>
      <c r="I149" s="766">
        <v>1399</v>
      </c>
      <c r="J149" s="724" t="s">
        <v>1990</v>
      </c>
      <c r="K149" s="238">
        <v>1</v>
      </c>
      <c r="L149" s="228"/>
      <c r="M149" s="726" t="s">
        <v>71</v>
      </c>
      <c r="N149" s="728"/>
      <c r="O149" s="728"/>
      <c r="P149" s="251"/>
    </row>
    <row r="150" spans="1:16" s="34" customFormat="1" ht="75.75" customHeight="1">
      <c r="A150" s="730">
        <v>144</v>
      </c>
      <c r="B150" s="729" t="s">
        <v>20</v>
      </c>
      <c r="C150" s="722" t="s">
        <v>1993</v>
      </c>
      <c r="D150" s="731" t="s">
        <v>1124</v>
      </c>
      <c r="E150" s="729" t="s">
        <v>2001</v>
      </c>
      <c r="F150" s="242" t="s">
        <v>2000</v>
      </c>
      <c r="G150" s="731" t="s">
        <v>1125</v>
      </c>
      <c r="H150" s="767" t="s">
        <v>69</v>
      </c>
      <c r="I150" s="766">
        <v>1399</v>
      </c>
      <c r="J150" s="724" t="s">
        <v>1990</v>
      </c>
      <c r="K150" s="238">
        <v>1</v>
      </c>
      <c r="L150" s="228"/>
      <c r="M150" s="728" t="s">
        <v>71</v>
      </c>
      <c r="N150" s="728"/>
      <c r="O150" s="728"/>
      <c r="P150" s="251"/>
    </row>
    <row r="151" spans="1:16" s="34" customFormat="1" ht="75.75" customHeight="1">
      <c r="A151" s="730">
        <v>145</v>
      </c>
      <c r="B151" s="729" t="s">
        <v>20</v>
      </c>
      <c r="C151" s="722" t="s">
        <v>1993</v>
      </c>
      <c r="D151" s="731" t="s">
        <v>1124</v>
      </c>
      <c r="E151" s="729" t="s">
        <v>1999</v>
      </c>
      <c r="F151" s="242">
        <v>261280</v>
      </c>
      <c r="G151" s="731" t="s">
        <v>1125</v>
      </c>
      <c r="H151" s="767" t="s">
        <v>69</v>
      </c>
      <c r="I151" s="766">
        <v>1399</v>
      </c>
      <c r="J151" s="724" t="s">
        <v>1990</v>
      </c>
      <c r="K151" s="109">
        <v>0</v>
      </c>
      <c r="L151" s="109" t="s">
        <v>72</v>
      </c>
      <c r="M151" s="40"/>
      <c r="N151" s="728" t="s">
        <v>325</v>
      </c>
      <c r="O151" s="728" t="s">
        <v>56</v>
      </c>
      <c r="P151" s="251"/>
    </row>
    <row r="152" spans="1:16" s="34" customFormat="1" ht="75.75" customHeight="1">
      <c r="A152" s="730">
        <v>146</v>
      </c>
      <c r="B152" s="729" t="s">
        <v>20</v>
      </c>
      <c r="C152" s="722" t="s">
        <v>1993</v>
      </c>
      <c r="D152" s="731" t="s">
        <v>1124</v>
      </c>
      <c r="E152" s="729" t="s">
        <v>1998</v>
      </c>
      <c r="F152" s="242">
        <v>285250</v>
      </c>
      <c r="G152" s="731" t="s">
        <v>1125</v>
      </c>
      <c r="H152" s="767" t="s">
        <v>69</v>
      </c>
      <c r="I152" s="766">
        <v>1399</v>
      </c>
      <c r="J152" s="724" t="s">
        <v>1990</v>
      </c>
      <c r="K152" s="238">
        <v>1</v>
      </c>
      <c r="L152" s="228"/>
      <c r="M152" s="728" t="s">
        <v>71</v>
      </c>
      <c r="N152" s="728"/>
      <c r="O152" s="728"/>
      <c r="P152" s="251"/>
    </row>
    <row r="153" spans="1:16" s="34" customFormat="1" ht="75.75" customHeight="1">
      <c r="A153" s="730">
        <v>147</v>
      </c>
      <c r="B153" s="729" t="s">
        <v>20</v>
      </c>
      <c r="C153" s="722" t="s">
        <v>1993</v>
      </c>
      <c r="D153" s="731" t="s">
        <v>1124</v>
      </c>
      <c r="E153" s="729" t="s">
        <v>1997</v>
      </c>
      <c r="F153" s="242" t="s">
        <v>1996</v>
      </c>
      <c r="G153" s="731" t="s">
        <v>1125</v>
      </c>
      <c r="H153" s="767" t="s">
        <v>69</v>
      </c>
      <c r="I153" s="766">
        <v>1399</v>
      </c>
      <c r="J153" s="724" t="s">
        <v>1990</v>
      </c>
      <c r="K153" s="238">
        <v>1</v>
      </c>
      <c r="L153" s="228"/>
      <c r="M153" s="728" t="s">
        <v>71</v>
      </c>
      <c r="N153" s="728"/>
      <c r="O153" s="728"/>
      <c r="P153" s="251"/>
    </row>
    <row r="154" spans="1:16" s="34" customFormat="1" ht="75.75" customHeight="1">
      <c r="A154" s="730">
        <v>148</v>
      </c>
      <c r="B154" s="729" t="s">
        <v>20</v>
      </c>
      <c r="C154" s="722" t="s">
        <v>1993</v>
      </c>
      <c r="D154" s="731" t="s">
        <v>1124</v>
      </c>
      <c r="E154" s="729" t="s">
        <v>1995</v>
      </c>
      <c r="F154" s="242" t="s">
        <v>1994</v>
      </c>
      <c r="G154" s="731" t="s">
        <v>1125</v>
      </c>
      <c r="H154" s="767" t="s">
        <v>69</v>
      </c>
      <c r="I154" s="766">
        <v>1399</v>
      </c>
      <c r="J154" s="724" t="s">
        <v>1990</v>
      </c>
      <c r="K154" s="238">
        <v>1</v>
      </c>
      <c r="L154" s="228"/>
      <c r="M154" s="726" t="s">
        <v>71</v>
      </c>
      <c r="N154" s="728"/>
      <c r="O154" s="728"/>
      <c r="P154" s="251"/>
    </row>
    <row r="155" spans="1:16" s="34" customFormat="1" ht="75.75" customHeight="1">
      <c r="A155" s="730">
        <v>149</v>
      </c>
      <c r="B155" s="729" t="s">
        <v>20</v>
      </c>
      <c r="C155" s="722" t="s">
        <v>1993</v>
      </c>
      <c r="D155" s="731" t="s">
        <v>1124</v>
      </c>
      <c r="E155" s="729" t="s">
        <v>1992</v>
      </c>
      <c r="F155" s="242" t="s">
        <v>1991</v>
      </c>
      <c r="G155" s="731" t="s">
        <v>1125</v>
      </c>
      <c r="H155" s="767" t="s">
        <v>69</v>
      </c>
      <c r="I155" s="766">
        <v>1399</v>
      </c>
      <c r="J155" s="724" t="s">
        <v>1990</v>
      </c>
      <c r="K155" s="238">
        <v>1</v>
      </c>
      <c r="L155" s="228"/>
      <c r="M155" s="726" t="s">
        <v>71</v>
      </c>
      <c r="N155" s="728"/>
      <c r="O155" s="728"/>
      <c r="P155" s="251"/>
    </row>
    <row r="156" spans="1:16" ht="64.900000000000006" customHeight="1">
      <c r="A156" s="730">
        <v>150</v>
      </c>
      <c r="B156" s="231" t="s">
        <v>20</v>
      </c>
      <c r="C156" s="236"/>
      <c r="D156" s="236" t="s">
        <v>73</v>
      </c>
      <c r="E156" s="231" t="s">
        <v>74</v>
      </c>
      <c r="F156" s="310">
        <v>561820.69200000004</v>
      </c>
      <c r="G156" s="731" t="s">
        <v>23</v>
      </c>
      <c r="H156" s="6" t="s">
        <v>24</v>
      </c>
      <c r="I156" s="765">
        <v>1399</v>
      </c>
      <c r="J156" s="724" t="s">
        <v>25</v>
      </c>
      <c r="K156" s="265" t="s">
        <v>17</v>
      </c>
      <c r="L156" s="494" t="s">
        <v>3</v>
      </c>
      <c r="M156" s="726"/>
      <c r="N156" s="728" t="s">
        <v>581</v>
      </c>
      <c r="O156" s="236" t="s">
        <v>1833</v>
      </c>
      <c r="P156" s="764"/>
    </row>
    <row r="160" spans="1:16" ht="20.25">
      <c r="C160" s="763"/>
    </row>
  </sheetData>
  <mergeCells count="19">
    <mergeCell ref="P81:P82"/>
    <mergeCell ref="C94:C97"/>
    <mergeCell ref="C98:C133"/>
    <mergeCell ref="O5:O6"/>
    <mergeCell ref="P5:P6"/>
    <mergeCell ref="P84:P85"/>
    <mergeCell ref="F81:F86"/>
    <mergeCell ref="A1:P4"/>
    <mergeCell ref="A5:A6"/>
    <mergeCell ref="B5:B6"/>
    <mergeCell ref="C5:C6"/>
    <mergeCell ref="D5:D6"/>
    <mergeCell ref="N5:N6"/>
    <mergeCell ref="E5:E6"/>
    <mergeCell ref="F5:H5"/>
    <mergeCell ref="I5:I6"/>
    <mergeCell ref="J5:J6"/>
    <mergeCell ref="K5:K6"/>
    <mergeCell ref="L5:M5"/>
  </mergeCells>
  <printOptions horizontalCentered="1"/>
  <pageMargins left="0" right="0" top="0.5" bottom="0.5" header="0.3" footer="0.3"/>
  <pageSetup paperSize="9" scale="61"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sheetPr>
    <tabColor rgb="FF92D050"/>
  </sheetPr>
  <dimension ref="A1:P50"/>
  <sheetViews>
    <sheetView rightToLeft="1" tabSelected="1" topLeftCell="A43" zoomScale="82" zoomScaleNormal="82" zoomScaleSheetLayoutView="66" workbookViewId="0">
      <selection activeCell="J49" sqref="J49"/>
    </sheetView>
  </sheetViews>
  <sheetFormatPr defaultColWidth="9.140625" defaultRowHeight="15"/>
  <cols>
    <col min="1" max="1" width="5.85546875" style="92" customWidth="1"/>
    <col min="2" max="2" width="16.28515625" style="93" customWidth="1"/>
    <col min="3" max="3" width="10" style="137" customWidth="1"/>
    <col min="4" max="4" width="14.42578125" style="136" customWidth="1"/>
    <col min="5" max="5" width="38.42578125" style="136" customWidth="1"/>
    <col min="6" max="6" width="17.28515625" style="94" customWidth="1"/>
    <col min="7" max="7" width="8.85546875" style="94" customWidth="1"/>
    <col min="8" max="8" width="13.140625" style="94" customWidth="1"/>
    <col min="9" max="9" width="9.28515625" style="92" customWidth="1"/>
    <col min="10" max="10" width="9.28515625" style="138" customWidth="1"/>
    <col min="11" max="11" width="8.85546875" style="92" customWidth="1"/>
    <col min="12" max="12" width="13.140625" style="96" customWidth="1"/>
    <col min="13" max="13" width="13.140625" style="95" customWidth="1"/>
    <col min="14" max="14" width="23.85546875" style="95" customWidth="1"/>
    <col min="15" max="15" width="20.28515625" style="95" customWidth="1"/>
    <col min="16" max="16" width="13.42578125" style="96" customWidth="1"/>
    <col min="17" max="16384" width="9.140625" style="4"/>
  </cols>
  <sheetData>
    <row r="1" spans="1:16" ht="18" customHeight="1">
      <c r="A1" s="830" t="s">
        <v>1877</v>
      </c>
      <c r="B1" s="831"/>
      <c r="C1" s="831"/>
      <c r="D1" s="831"/>
      <c r="E1" s="831"/>
      <c r="F1" s="831"/>
      <c r="G1" s="831"/>
      <c r="H1" s="831"/>
      <c r="I1" s="831"/>
      <c r="J1" s="831"/>
      <c r="K1" s="831"/>
      <c r="L1" s="831"/>
      <c r="M1" s="831"/>
      <c r="N1" s="831"/>
      <c r="O1" s="831"/>
      <c r="P1" s="831"/>
    </row>
    <row r="2" spans="1:16" ht="18" customHeight="1">
      <c r="A2" s="831"/>
      <c r="B2" s="831"/>
      <c r="C2" s="831"/>
      <c r="D2" s="831"/>
      <c r="E2" s="831"/>
      <c r="F2" s="831"/>
      <c r="G2" s="831"/>
      <c r="H2" s="831"/>
      <c r="I2" s="831"/>
      <c r="J2" s="831"/>
      <c r="K2" s="831"/>
      <c r="L2" s="831"/>
      <c r="M2" s="831"/>
      <c r="N2" s="831"/>
      <c r="O2" s="831"/>
      <c r="P2" s="831"/>
    </row>
    <row r="3" spans="1:16" ht="18" customHeight="1">
      <c r="A3" s="831"/>
      <c r="B3" s="831"/>
      <c r="C3" s="831"/>
      <c r="D3" s="831"/>
      <c r="E3" s="831"/>
      <c r="F3" s="831"/>
      <c r="G3" s="831"/>
      <c r="H3" s="831"/>
      <c r="I3" s="831"/>
      <c r="J3" s="831"/>
      <c r="K3" s="831"/>
      <c r="L3" s="831"/>
      <c r="M3" s="831"/>
      <c r="N3" s="831"/>
      <c r="O3" s="831"/>
      <c r="P3" s="831"/>
    </row>
    <row r="4" spans="1:16" ht="18" customHeight="1">
      <c r="A4" s="832"/>
      <c r="B4" s="832"/>
      <c r="C4" s="832"/>
      <c r="D4" s="832"/>
      <c r="E4" s="832"/>
      <c r="F4" s="832"/>
      <c r="G4" s="832"/>
      <c r="H4" s="832"/>
      <c r="I4" s="832"/>
      <c r="J4" s="832"/>
      <c r="K4" s="832"/>
      <c r="L4" s="832"/>
      <c r="M4" s="832"/>
      <c r="N4" s="832"/>
      <c r="O4" s="832"/>
      <c r="P4" s="832"/>
    </row>
    <row r="5" spans="1:16" ht="24" customHeight="1">
      <c r="A5" s="792" t="s">
        <v>0</v>
      </c>
      <c r="B5" s="829" t="s">
        <v>14</v>
      </c>
      <c r="C5" s="829" t="s">
        <v>18</v>
      </c>
      <c r="D5" s="829" t="s">
        <v>1</v>
      </c>
      <c r="E5" s="792" t="s">
        <v>15</v>
      </c>
      <c r="F5" s="829" t="s">
        <v>9</v>
      </c>
      <c r="G5" s="829"/>
      <c r="H5" s="829"/>
      <c r="I5" s="792" t="s">
        <v>7</v>
      </c>
      <c r="J5" s="829" t="s">
        <v>6</v>
      </c>
      <c r="K5" s="829" t="s">
        <v>16</v>
      </c>
      <c r="L5" s="829" t="s">
        <v>2</v>
      </c>
      <c r="M5" s="792"/>
      <c r="N5" s="829" t="s">
        <v>5</v>
      </c>
      <c r="O5" s="829" t="s">
        <v>13</v>
      </c>
      <c r="P5" s="829" t="s">
        <v>8</v>
      </c>
    </row>
    <row r="6" spans="1:16" ht="45" customHeight="1">
      <c r="A6" s="792"/>
      <c r="B6" s="829"/>
      <c r="C6" s="829"/>
      <c r="D6" s="829"/>
      <c r="E6" s="792"/>
      <c r="F6" s="829" t="s">
        <v>10</v>
      </c>
      <c r="G6" s="829" t="s">
        <v>11</v>
      </c>
      <c r="H6" s="829" t="s">
        <v>12</v>
      </c>
      <c r="I6" s="792"/>
      <c r="J6" s="829"/>
      <c r="K6" s="829"/>
      <c r="L6" s="829" t="s">
        <v>3</v>
      </c>
      <c r="M6" s="792" t="s">
        <v>4</v>
      </c>
      <c r="N6" s="829"/>
      <c r="O6" s="829"/>
      <c r="P6" s="829"/>
    </row>
    <row r="7" spans="1:16" s="5" customFormat="1" ht="55.5" customHeight="1">
      <c r="A7" s="578">
        <v>1</v>
      </c>
      <c r="B7" s="572" t="s">
        <v>75</v>
      </c>
      <c r="C7" s="572" t="s">
        <v>184</v>
      </c>
      <c r="D7" s="22" t="s">
        <v>320</v>
      </c>
      <c r="E7" s="40" t="s">
        <v>1519</v>
      </c>
      <c r="F7" s="47">
        <v>221667</v>
      </c>
      <c r="G7" s="583" t="s">
        <v>23</v>
      </c>
      <c r="H7" s="583" t="s">
        <v>77</v>
      </c>
      <c r="I7" s="53">
        <v>1399</v>
      </c>
      <c r="J7" s="56" t="s">
        <v>25</v>
      </c>
      <c r="K7" s="24">
        <v>1</v>
      </c>
      <c r="L7" s="480"/>
      <c r="M7" s="33" t="s">
        <v>33</v>
      </c>
      <c r="N7" s="592"/>
      <c r="O7" s="592"/>
      <c r="P7" s="480"/>
    </row>
    <row r="8" spans="1:16" s="5" customFormat="1" ht="51" customHeight="1">
      <c r="A8" s="578">
        <v>2</v>
      </c>
      <c r="B8" s="572" t="s">
        <v>75</v>
      </c>
      <c r="C8" s="572" t="s">
        <v>1520</v>
      </c>
      <c r="D8" s="22" t="s">
        <v>320</v>
      </c>
      <c r="E8" s="40" t="s">
        <v>1521</v>
      </c>
      <c r="F8" s="47">
        <v>272000</v>
      </c>
      <c r="G8" s="583" t="s">
        <v>23</v>
      </c>
      <c r="H8" s="583" t="s">
        <v>77</v>
      </c>
      <c r="I8" s="53">
        <v>1399</v>
      </c>
      <c r="J8" s="56" t="s">
        <v>25</v>
      </c>
      <c r="K8" s="24">
        <v>1</v>
      </c>
      <c r="L8" s="480"/>
      <c r="M8" s="33" t="s">
        <v>33</v>
      </c>
      <c r="N8" s="592"/>
      <c r="O8" s="592"/>
      <c r="P8" s="480"/>
    </row>
    <row r="9" spans="1:16" s="574" customFormat="1" ht="54">
      <c r="A9" s="587">
        <v>3</v>
      </c>
      <c r="B9" s="572" t="s">
        <v>75</v>
      </c>
      <c r="C9" s="572" t="s">
        <v>1522</v>
      </c>
      <c r="D9" s="90" t="s">
        <v>1523</v>
      </c>
      <c r="E9" s="22" t="s">
        <v>1524</v>
      </c>
      <c r="F9" s="47">
        <v>11498774</v>
      </c>
      <c r="G9" s="583" t="s">
        <v>23</v>
      </c>
      <c r="H9" s="583" t="s">
        <v>77</v>
      </c>
      <c r="I9" s="53">
        <v>1399</v>
      </c>
      <c r="J9" s="56" t="s">
        <v>25</v>
      </c>
      <c r="K9" s="24">
        <v>1</v>
      </c>
      <c r="L9" s="33" t="s">
        <v>17</v>
      </c>
      <c r="M9" s="33" t="s">
        <v>33</v>
      </c>
      <c r="N9" s="33" t="s">
        <v>17</v>
      </c>
      <c r="O9" s="592"/>
      <c r="P9" s="480"/>
    </row>
    <row r="10" spans="1:16" s="574" customFormat="1" ht="36">
      <c r="A10" s="587">
        <v>4</v>
      </c>
      <c r="B10" s="572" t="s">
        <v>75</v>
      </c>
      <c r="C10" s="572" t="s">
        <v>1525</v>
      </c>
      <c r="D10" s="90" t="s">
        <v>1523</v>
      </c>
      <c r="E10" s="22" t="s">
        <v>1526</v>
      </c>
      <c r="F10" s="47">
        <v>9215100</v>
      </c>
      <c r="G10" s="583" t="s">
        <v>23</v>
      </c>
      <c r="H10" s="583" t="s">
        <v>77</v>
      </c>
      <c r="I10" s="53">
        <v>1399</v>
      </c>
      <c r="J10" s="56" t="s">
        <v>25</v>
      </c>
      <c r="K10" s="24">
        <v>1</v>
      </c>
      <c r="L10" s="33" t="s">
        <v>17</v>
      </c>
      <c r="M10" s="33" t="s">
        <v>33</v>
      </c>
      <c r="N10" s="33" t="s">
        <v>17</v>
      </c>
      <c r="O10" s="592"/>
      <c r="P10" s="480"/>
    </row>
    <row r="11" spans="1:16" ht="62.25" customHeight="1">
      <c r="A11" s="587">
        <v>5</v>
      </c>
      <c r="B11" s="79" t="s">
        <v>75</v>
      </c>
      <c r="C11" s="79"/>
      <c r="D11" s="40" t="s">
        <v>28</v>
      </c>
      <c r="E11" s="40" t="s">
        <v>145</v>
      </c>
      <c r="F11" s="47">
        <v>90000</v>
      </c>
      <c r="G11" s="19" t="s">
        <v>23</v>
      </c>
      <c r="H11" s="19" t="s">
        <v>77</v>
      </c>
      <c r="I11" s="53">
        <v>1399</v>
      </c>
      <c r="J11" s="56" t="s">
        <v>25</v>
      </c>
      <c r="K11" s="24">
        <v>1</v>
      </c>
      <c r="L11" s="19"/>
      <c r="M11" s="33" t="s">
        <v>33</v>
      </c>
      <c r="N11" s="33"/>
      <c r="O11" s="33"/>
      <c r="P11" s="42"/>
    </row>
    <row r="12" spans="1:16" ht="34.5" customHeight="1">
      <c r="A12" s="587">
        <v>6</v>
      </c>
      <c r="B12" s="79" t="s">
        <v>75</v>
      </c>
      <c r="C12" s="79"/>
      <c r="D12" s="40" t="s">
        <v>28</v>
      </c>
      <c r="E12" s="22" t="s">
        <v>229</v>
      </c>
      <c r="F12" s="47">
        <v>2940000</v>
      </c>
      <c r="G12" s="19" t="s">
        <v>23</v>
      </c>
      <c r="H12" s="19" t="s">
        <v>77</v>
      </c>
      <c r="I12" s="53">
        <v>1399</v>
      </c>
      <c r="J12" s="56" t="s">
        <v>25</v>
      </c>
      <c r="K12" s="24">
        <v>1</v>
      </c>
      <c r="L12" s="40"/>
      <c r="M12" s="33" t="s">
        <v>33</v>
      </c>
      <c r="N12" s="22"/>
      <c r="O12" s="40"/>
      <c r="P12" s="25" t="s">
        <v>17</v>
      </c>
    </row>
    <row r="13" spans="1:16" ht="57" customHeight="1">
      <c r="A13" s="587">
        <v>7</v>
      </c>
      <c r="B13" s="79" t="s">
        <v>75</v>
      </c>
      <c r="C13" s="79"/>
      <c r="D13" s="40" t="s">
        <v>28</v>
      </c>
      <c r="E13" s="22" t="s">
        <v>226</v>
      </c>
      <c r="F13" s="47">
        <v>41500</v>
      </c>
      <c r="G13" s="19" t="s">
        <v>23</v>
      </c>
      <c r="H13" s="19" t="s">
        <v>77</v>
      </c>
      <c r="I13" s="53">
        <v>1399</v>
      </c>
      <c r="J13" s="56" t="s">
        <v>25</v>
      </c>
      <c r="K13" s="24">
        <v>1</v>
      </c>
      <c r="L13" s="19"/>
      <c r="M13" s="33" t="s">
        <v>33</v>
      </c>
      <c r="N13" s="33"/>
      <c r="O13" s="33"/>
      <c r="P13" s="19"/>
    </row>
    <row r="14" spans="1:16" ht="63" customHeight="1">
      <c r="A14" s="587">
        <v>8</v>
      </c>
      <c r="B14" s="79" t="s">
        <v>75</v>
      </c>
      <c r="C14" s="79"/>
      <c r="D14" s="40" t="s">
        <v>116</v>
      </c>
      <c r="E14" s="22" t="s">
        <v>22</v>
      </c>
      <c r="F14" s="47">
        <v>640000</v>
      </c>
      <c r="G14" s="19" t="s">
        <v>23</v>
      </c>
      <c r="H14" s="19" t="s">
        <v>77</v>
      </c>
      <c r="I14" s="53">
        <v>1399</v>
      </c>
      <c r="J14" s="56" t="s">
        <v>25</v>
      </c>
      <c r="K14" s="24">
        <v>1</v>
      </c>
      <c r="L14" s="19"/>
      <c r="M14" s="33" t="s">
        <v>33</v>
      </c>
      <c r="N14" s="33"/>
      <c r="O14" s="33"/>
      <c r="P14" s="19"/>
    </row>
    <row r="15" spans="1:16" ht="63" customHeight="1">
      <c r="A15" s="587">
        <v>9</v>
      </c>
      <c r="B15" s="79" t="s">
        <v>75</v>
      </c>
      <c r="C15" s="79"/>
      <c r="D15" s="40" t="s">
        <v>116</v>
      </c>
      <c r="E15" s="22" t="s">
        <v>131</v>
      </c>
      <c r="F15" s="47">
        <v>17000</v>
      </c>
      <c r="G15" s="19" t="s">
        <v>23</v>
      </c>
      <c r="H15" s="19" t="s">
        <v>77</v>
      </c>
      <c r="I15" s="53">
        <v>1399</v>
      </c>
      <c r="J15" s="56" t="s">
        <v>25</v>
      </c>
      <c r="K15" s="24">
        <v>1</v>
      </c>
      <c r="L15" s="19"/>
      <c r="M15" s="33" t="s">
        <v>33</v>
      </c>
      <c r="N15" s="33"/>
      <c r="O15" s="33"/>
      <c r="P15" s="19"/>
    </row>
    <row r="16" spans="1:16" ht="66" customHeight="1">
      <c r="A16" s="587">
        <v>10</v>
      </c>
      <c r="B16" s="79" t="s">
        <v>75</v>
      </c>
      <c r="C16" s="79"/>
      <c r="D16" s="40" t="s">
        <v>31</v>
      </c>
      <c r="E16" s="22" t="s">
        <v>230</v>
      </c>
      <c r="F16" s="177">
        <v>10651619</v>
      </c>
      <c r="G16" s="19" t="s">
        <v>23</v>
      </c>
      <c r="H16" s="19" t="s">
        <v>77</v>
      </c>
      <c r="I16" s="53">
        <v>1399</v>
      </c>
      <c r="J16" s="56" t="s">
        <v>25</v>
      </c>
      <c r="K16" s="24">
        <v>0</v>
      </c>
      <c r="L16" s="19" t="s">
        <v>3</v>
      </c>
      <c r="M16" s="33" t="s">
        <v>17</v>
      </c>
      <c r="N16" s="33" t="s">
        <v>36</v>
      </c>
      <c r="O16" s="33" t="s">
        <v>216</v>
      </c>
      <c r="P16" s="19"/>
    </row>
    <row r="17" spans="1:16" ht="66" customHeight="1">
      <c r="A17" s="587">
        <v>11</v>
      </c>
      <c r="B17" s="79" t="s">
        <v>75</v>
      </c>
      <c r="C17" s="79"/>
      <c r="D17" s="40" t="s">
        <v>31</v>
      </c>
      <c r="E17" s="22" t="s">
        <v>183</v>
      </c>
      <c r="F17" s="177">
        <v>100000</v>
      </c>
      <c r="G17" s="19" t="s">
        <v>23</v>
      </c>
      <c r="H17" s="19" t="s">
        <v>77</v>
      </c>
      <c r="I17" s="53">
        <v>1399</v>
      </c>
      <c r="J17" s="56" t="s">
        <v>25</v>
      </c>
      <c r="K17" s="24">
        <v>0</v>
      </c>
      <c r="L17" s="19" t="s">
        <v>3</v>
      </c>
      <c r="M17" s="33" t="s">
        <v>17</v>
      </c>
      <c r="N17" s="33" t="s">
        <v>36</v>
      </c>
      <c r="O17" s="33" t="s">
        <v>216</v>
      </c>
      <c r="P17" s="19"/>
    </row>
    <row r="18" spans="1:16" ht="62.25" customHeight="1">
      <c r="A18" s="587">
        <v>12</v>
      </c>
      <c r="B18" s="79" t="s">
        <v>75</v>
      </c>
      <c r="C18" s="79"/>
      <c r="D18" s="40" t="s">
        <v>31</v>
      </c>
      <c r="E18" s="22" t="s">
        <v>119</v>
      </c>
      <c r="F18" s="47">
        <v>301500</v>
      </c>
      <c r="G18" s="19" t="s">
        <v>23</v>
      </c>
      <c r="H18" s="19" t="s">
        <v>77</v>
      </c>
      <c r="I18" s="53">
        <v>1399</v>
      </c>
      <c r="J18" s="56" t="s">
        <v>25</v>
      </c>
      <c r="K18" s="24">
        <v>1</v>
      </c>
      <c r="L18" s="105"/>
      <c r="M18" s="33" t="s">
        <v>33</v>
      </c>
      <c r="N18" s="33"/>
      <c r="O18" s="33"/>
      <c r="P18" s="19"/>
    </row>
    <row r="19" spans="1:16" ht="66.75" customHeight="1">
      <c r="A19" s="587">
        <v>13</v>
      </c>
      <c r="B19" s="79" t="s">
        <v>75</v>
      </c>
      <c r="C19" s="79"/>
      <c r="D19" s="40" t="s">
        <v>31</v>
      </c>
      <c r="E19" s="22" t="s">
        <v>120</v>
      </c>
      <c r="F19" s="47">
        <v>270849</v>
      </c>
      <c r="G19" s="19" t="s">
        <v>23</v>
      </c>
      <c r="H19" s="19" t="s">
        <v>77</v>
      </c>
      <c r="I19" s="53">
        <v>1399</v>
      </c>
      <c r="J19" s="56" t="s">
        <v>25</v>
      </c>
      <c r="K19" s="24">
        <v>1</v>
      </c>
      <c r="L19" s="105"/>
      <c r="M19" s="33" t="s">
        <v>33</v>
      </c>
      <c r="N19" s="33"/>
      <c r="O19" s="33"/>
      <c r="P19" s="19"/>
    </row>
    <row r="20" spans="1:16" ht="66.75" customHeight="1">
      <c r="A20" s="587">
        <v>14</v>
      </c>
      <c r="B20" s="79" t="s">
        <v>75</v>
      </c>
      <c r="C20" s="79"/>
      <c r="D20" s="40" t="s">
        <v>31</v>
      </c>
      <c r="E20" s="22" t="s">
        <v>121</v>
      </c>
      <c r="F20" s="47">
        <v>194600</v>
      </c>
      <c r="G20" s="19" t="s">
        <v>23</v>
      </c>
      <c r="H20" s="19" t="s">
        <v>77</v>
      </c>
      <c r="I20" s="53">
        <v>1399</v>
      </c>
      <c r="J20" s="56" t="s">
        <v>25</v>
      </c>
      <c r="K20" s="24">
        <v>1</v>
      </c>
      <c r="L20" s="105"/>
      <c r="M20" s="33" t="s">
        <v>33</v>
      </c>
      <c r="N20" s="33"/>
      <c r="O20" s="33"/>
      <c r="P20" s="19"/>
    </row>
    <row r="21" spans="1:16" ht="66.75" customHeight="1">
      <c r="A21" s="587">
        <v>15</v>
      </c>
      <c r="B21" s="79" t="s">
        <v>75</v>
      </c>
      <c r="C21" s="79"/>
      <c r="D21" s="40" t="s">
        <v>31</v>
      </c>
      <c r="E21" s="22" t="s">
        <v>122</v>
      </c>
      <c r="F21" s="47">
        <v>276000</v>
      </c>
      <c r="G21" s="19" t="s">
        <v>23</v>
      </c>
      <c r="H21" s="19" t="s">
        <v>77</v>
      </c>
      <c r="I21" s="53">
        <v>1399</v>
      </c>
      <c r="J21" s="56" t="s">
        <v>25</v>
      </c>
      <c r="K21" s="24">
        <v>1</v>
      </c>
      <c r="L21" s="105"/>
      <c r="M21" s="33" t="s">
        <v>33</v>
      </c>
      <c r="N21" s="33"/>
      <c r="O21" s="33"/>
      <c r="P21" s="19"/>
    </row>
    <row r="22" spans="1:16" ht="66.75" customHeight="1">
      <c r="A22" s="587">
        <v>16</v>
      </c>
      <c r="B22" s="79" t="s">
        <v>75</v>
      </c>
      <c r="C22" s="79"/>
      <c r="D22" s="22" t="s">
        <v>40</v>
      </c>
      <c r="E22" s="90" t="s">
        <v>133</v>
      </c>
      <c r="F22" s="47">
        <v>1413600</v>
      </c>
      <c r="G22" s="19" t="s">
        <v>23</v>
      </c>
      <c r="H22" s="19" t="s">
        <v>41</v>
      </c>
      <c r="I22" s="53">
        <v>1399</v>
      </c>
      <c r="J22" s="56" t="s">
        <v>25</v>
      </c>
      <c r="K22" s="24">
        <v>1</v>
      </c>
      <c r="L22" s="105"/>
      <c r="M22" s="33" t="s">
        <v>33</v>
      </c>
      <c r="N22" s="33"/>
      <c r="O22" s="33"/>
      <c r="P22" s="19"/>
    </row>
    <row r="23" spans="1:16" ht="90">
      <c r="A23" s="587">
        <v>17</v>
      </c>
      <c r="B23" s="79" t="s">
        <v>75</v>
      </c>
      <c r="C23" s="79"/>
      <c r="D23" s="22" t="s">
        <v>40</v>
      </c>
      <c r="E23" s="90" t="s">
        <v>231</v>
      </c>
      <c r="F23" s="177">
        <v>372000</v>
      </c>
      <c r="G23" s="19" t="s">
        <v>23</v>
      </c>
      <c r="H23" s="19" t="s">
        <v>41</v>
      </c>
      <c r="I23" s="53">
        <v>1399</v>
      </c>
      <c r="J23" s="56" t="s">
        <v>25</v>
      </c>
      <c r="K23" s="24">
        <v>1</v>
      </c>
      <c r="L23" s="105" t="s">
        <v>947</v>
      </c>
      <c r="M23" s="33" t="s">
        <v>33</v>
      </c>
      <c r="N23" s="22" t="s">
        <v>325</v>
      </c>
      <c r="O23" s="22" t="s">
        <v>969</v>
      </c>
      <c r="P23" s="19"/>
    </row>
    <row r="24" spans="1:16" ht="54">
      <c r="A24" s="587">
        <v>18</v>
      </c>
      <c r="B24" s="79" t="s">
        <v>75</v>
      </c>
      <c r="C24" s="79"/>
      <c r="D24" s="22" t="s">
        <v>40</v>
      </c>
      <c r="E24" s="90" t="s">
        <v>203</v>
      </c>
      <c r="F24" s="47">
        <v>2901600</v>
      </c>
      <c r="G24" s="19" t="s">
        <v>23</v>
      </c>
      <c r="H24" s="19" t="s">
        <v>41</v>
      </c>
      <c r="I24" s="53">
        <v>1399</v>
      </c>
      <c r="J24" s="56" t="s">
        <v>25</v>
      </c>
      <c r="K24" s="24">
        <v>1</v>
      </c>
      <c r="L24" s="105"/>
      <c r="M24" s="33" t="s">
        <v>33</v>
      </c>
      <c r="N24" s="33"/>
      <c r="O24" s="33"/>
      <c r="P24" s="19"/>
    </row>
    <row r="25" spans="1:16" ht="108">
      <c r="A25" s="587">
        <v>19</v>
      </c>
      <c r="B25" s="79" t="s">
        <v>75</v>
      </c>
      <c r="C25" s="79"/>
      <c r="D25" s="22" t="s">
        <v>40</v>
      </c>
      <c r="E25" s="90" t="s">
        <v>209</v>
      </c>
      <c r="F25" s="47" t="s">
        <v>17</v>
      </c>
      <c r="G25" s="19" t="s">
        <v>17</v>
      </c>
      <c r="H25" s="19" t="s">
        <v>17</v>
      </c>
      <c r="I25" s="53">
        <v>1399</v>
      </c>
      <c r="J25" s="56" t="s">
        <v>25</v>
      </c>
      <c r="K25" s="24">
        <v>1</v>
      </c>
      <c r="L25" s="105"/>
      <c r="M25" s="33" t="s">
        <v>33</v>
      </c>
      <c r="N25" s="33"/>
      <c r="O25" s="33"/>
      <c r="P25" s="33" t="s">
        <v>324</v>
      </c>
    </row>
    <row r="26" spans="1:16" ht="54">
      <c r="A26" s="587">
        <v>20</v>
      </c>
      <c r="B26" s="79" t="s">
        <v>75</v>
      </c>
      <c r="C26" s="79"/>
      <c r="D26" s="22" t="s">
        <v>40</v>
      </c>
      <c r="E26" s="90" t="s">
        <v>232</v>
      </c>
      <c r="F26" s="47">
        <v>99900</v>
      </c>
      <c r="G26" s="19" t="s">
        <v>23</v>
      </c>
      <c r="H26" s="19" t="s">
        <v>41</v>
      </c>
      <c r="I26" s="53">
        <v>1399</v>
      </c>
      <c r="J26" s="56" t="s">
        <v>25</v>
      </c>
      <c r="K26" s="24">
        <v>1</v>
      </c>
      <c r="L26" s="105"/>
      <c r="M26" s="33" t="s">
        <v>33</v>
      </c>
      <c r="N26" s="33"/>
      <c r="O26" s="33"/>
      <c r="P26" s="19"/>
    </row>
    <row r="27" spans="1:16" ht="90">
      <c r="A27" s="587">
        <v>21</v>
      </c>
      <c r="B27" s="79" t="s">
        <v>75</v>
      </c>
      <c r="C27" s="79"/>
      <c r="D27" s="22" t="s">
        <v>40</v>
      </c>
      <c r="E27" s="90" t="s">
        <v>86</v>
      </c>
      <c r="F27" s="177">
        <v>750000</v>
      </c>
      <c r="G27" s="19" t="s">
        <v>23</v>
      </c>
      <c r="H27" s="19" t="s">
        <v>41</v>
      </c>
      <c r="I27" s="53">
        <v>1399</v>
      </c>
      <c r="J27" s="56" t="s">
        <v>25</v>
      </c>
      <c r="K27" s="24">
        <v>1</v>
      </c>
      <c r="L27" s="105" t="s">
        <v>947</v>
      </c>
      <c r="M27" s="33" t="s">
        <v>33</v>
      </c>
      <c r="N27" s="22" t="s">
        <v>325</v>
      </c>
      <c r="O27" s="22" t="s">
        <v>969</v>
      </c>
      <c r="P27" s="19"/>
    </row>
    <row r="28" spans="1:16" ht="54">
      <c r="A28" s="587">
        <v>22</v>
      </c>
      <c r="B28" s="79" t="s">
        <v>75</v>
      </c>
      <c r="C28" s="79"/>
      <c r="D28" s="22" t="s">
        <v>40</v>
      </c>
      <c r="E28" s="90" t="s">
        <v>233</v>
      </c>
      <c r="F28" s="47">
        <v>156240</v>
      </c>
      <c r="G28" s="19" t="s">
        <v>23</v>
      </c>
      <c r="H28" s="19" t="s">
        <v>41</v>
      </c>
      <c r="I28" s="53">
        <v>1399</v>
      </c>
      <c r="J28" s="56" t="s">
        <v>25</v>
      </c>
      <c r="K28" s="24">
        <v>1</v>
      </c>
      <c r="L28" s="105"/>
      <c r="M28" s="33" t="s">
        <v>33</v>
      </c>
      <c r="N28" s="33"/>
      <c r="O28" s="33"/>
      <c r="P28" s="19"/>
    </row>
    <row r="29" spans="1:16" ht="54">
      <c r="A29" s="587">
        <v>23</v>
      </c>
      <c r="B29" s="79" t="s">
        <v>75</v>
      </c>
      <c r="C29" s="79"/>
      <c r="D29" s="22" t="s">
        <v>40</v>
      </c>
      <c r="E29" s="90" t="s">
        <v>227</v>
      </c>
      <c r="F29" s="47">
        <v>392550</v>
      </c>
      <c r="G29" s="19" t="s">
        <v>23</v>
      </c>
      <c r="H29" s="19" t="s">
        <v>41</v>
      </c>
      <c r="I29" s="53">
        <v>1399</v>
      </c>
      <c r="J29" s="56" t="s">
        <v>25</v>
      </c>
      <c r="K29" s="24">
        <v>1</v>
      </c>
      <c r="L29" s="105"/>
      <c r="M29" s="33" t="s">
        <v>33</v>
      </c>
      <c r="N29" s="33"/>
      <c r="O29" s="33"/>
      <c r="P29" s="19"/>
    </row>
    <row r="30" spans="1:16" ht="54">
      <c r="A30" s="587">
        <v>24</v>
      </c>
      <c r="B30" s="79" t="s">
        <v>75</v>
      </c>
      <c r="C30" s="79"/>
      <c r="D30" s="22" t="s">
        <v>40</v>
      </c>
      <c r="E30" s="90" t="s">
        <v>137</v>
      </c>
      <c r="F30" s="47">
        <v>151800</v>
      </c>
      <c r="G30" s="19" t="s">
        <v>23</v>
      </c>
      <c r="H30" s="19" t="s">
        <v>41</v>
      </c>
      <c r="I30" s="53">
        <v>1399</v>
      </c>
      <c r="J30" s="56" t="s">
        <v>25</v>
      </c>
      <c r="K30" s="24">
        <v>1</v>
      </c>
      <c r="L30" s="105"/>
      <c r="M30" s="33" t="s">
        <v>33</v>
      </c>
      <c r="N30" s="33"/>
      <c r="O30" s="33"/>
      <c r="P30" s="19"/>
    </row>
    <row r="31" spans="1:16" ht="52.5" customHeight="1">
      <c r="A31" s="587">
        <v>25</v>
      </c>
      <c r="B31" s="79" t="s">
        <v>75</v>
      </c>
      <c r="C31" s="79"/>
      <c r="D31" s="22" t="s">
        <v>40</v>
      </c>
      <c r="E31" s="90" t="s">
        <v>48</v>
      </c>
      <c r="F31" s="47">
        <v>85028</v>
      </c>
      <c r="G31" s="19" t="s">
        <v>23</v>
      </c>
      <c r="H31" s="19" t="s">
        <v>41</v>
      </c>
      <c r="I31" s="53">
        <v>1399</v>
      </c>
      <c r="J31" s="56" t="s">
        <v>25</v>
      </c>
      <c r="K31" s="24">
        <v>1</v>
      </c>
      <c r="L31" s="105"/>
      <c r="M31" s="33" t="s">
        <v>33</v>
      </c>
      <c r="N31" s="33"/>
      <c r="O31" s="33"/>
      <c r="P31" s="19"/>
    </row>
    <row r="32" spans="1:16" ht="90">
      <c r="A32" s="587">
        <v>26</v>
      </c>
      <c r="B32" s="79" t="s">
        <v>75</v>
      </c>
      <c r="C32" s="79"/>
      <c r="D32" s="22" t="s">
        <v>40</v>
      </c>
      <c r="E32" s="22" t="s">
        <v>152</v>
      </c>
      <c r="F32" s="177">
        <v>52050</v>
      </c>
      <c r="G32" s="19" t="s">
        <v>23</v>
      </c>
      <c r="H32" s="19" t="s">
        <v>41</v>
      </c>
      <c r="I32" s="53">
        <v>1399</v>
      </c>
      <c r="J32" s="56" t="s">
        <v>25</v>
      </c>
      <c r="K32" s="24">
        <v>1</v>
      </c>
      <c r="L32" s="105" t="s">
        <v>947</v>
      </c>
      <c r="M32" s="33" t="s">
        <v>33</v>
      </c>
      <c r="N32" s="22" t="s">
        <v>325</v>
      </c>
      <c r="O32" s="22" t="s">
        <v>969</v>
      </c>
      <c r="P32" s="19"/>
    </row>
    <row r="33" spans="1:16" ht="90">
      <c r="A33" s="587">
        <v>27</v>
      </c>
      <c r="B33" s="79" t="s">
        <v>75</v>
      </c>
      <c r="C33" s="79"/>
      <c r="D33" s="22" t="s">
        <v>40</v>
      </c>
      <c r="E33" s="22" t="s">
        <v>153</v>
      </c>
      <c r="F33" s="177">
        <v>72900</v>
      </c>
      <c r="G33" s="19" t="s">
        <v>23</v>
      </c>
      <c r="H33" s="19" t="s">
        <v>41</v>
      </c>
      <c r="I33" s="53">
        <v>1399</v>
      </c>
      <c r="J33" s="56" t="s">
        <v>25</v>
      </c>
      <c r="K33" s="24">
        <v>1</v>
      </c>
      <c r="L33" s="105" t="s">
        <v>947</v>
      </c>
      <c r="M33" s="33" t="s">
        <v>33</v>
      </c>
      <c r="N33" s="22" t="s">
        <v>325</v>
      </c>
      <c r="O33" s="22" t="s">
        <v>969</v>
      </c>
      <c r="P33" s="19"/>
    </row>
    <row r="34" spans="1:16" ht="90">
      <c r="A34" s="587">
        <v>28</v>
      </c>
      <c r="B34" s="79" t="s">
        <v>75</v>
      </c>
      <c r="C34" s="79"/>
      <c r="D34" s="22" t="s">
        <v>40</v>
      </c>
      <c r="E34" s="22" t="s">
        <v>154</v>
      </c>
      <c r="F34" s="177">
        <v>45550</v>
      </c>
      <c r="G34" s="19" t="s">
        <v>23</v>
      </c>
      <c r="H34" s="19" t="s">
        <v>41</v>
      </c>
      <c r="I34" s="53">
        <v>1399</v>
      </c>
      <c r="J34" s="56" t="s">
        <v>25</v>
      </c>
      <c r="K34" s="24">
        <v>1</v>
      </c>
      <c r="L34" s="105" t="s">
        <v>947</v>
      </c>
      <c r="M34" s="33" t="s">
        <v>33</v>
      </c>
      <c r="N34" s="22" t="s">
        <v>325</v>
      </c>
      <c r="O34" s="22" t="s">
        <v>969</v>
      </c>
      <c r="P34" s="19"/>
    </row>
    <row r="35" spans="1:16" ht="54">
      <c r="A35" s="587">
        <v>29</v>
      </c>
      <c r="B35" s="79" t="s">
        <v>75</v>
      </c>
      <c r="C35" s="79"/>
      <c r="D35" s="22" t="s">
        <v>40</v>
      </c>
      <c r="E35" s="90" t="s">
        <v>138</v>
      </c>
      <c r="F35" s="47">
        <v>515100</v>
      </c>
      <c r="G35" s="19" t="s">
        <v>23</v>
      </c>
      <c r="H35" s="19" t="s">
        <v>41</v>
      </c>
      <c r="I35" s="53">
        <v>1399</v>
      </c>
      <c r="J35" s="56" t="s">
        <v>25</v>
      </c>
      <c r="K35" s="24">
        <v>1</v>
      </c>
      <c r="L35" s="105"/>
      <c r="M35" s="33" t="s">
        <v>33</v>
      </c>
      <c r="N35" s="33"/>
      <c r="O35" s="33"/>
      <c r="P35" s="19"/>
    </row>
    <row r="36" spans="1:16" ht="54">
      <c r="A36" s="587">
        <v>30</v>
      </c>
      <c r="B36" s="79" t="s">
        <v>75</v>
      </c>
      <c r="C36" s="79"/>
      <c r="D36" s="22" t="s">
        <v>40</v>
      </c>
      <c r="E36" s="90" t="s">
        <v>234</v>
      </c>
      <c r="F36" s="47">
        <v>157500</v>
      </c>
      <c r="G36" s="19" t="s">
        <v>23</v>
      </c>
      <c r="H36" s="19" t="s">
        <v>41</v>
      </c>
      <c r="I36" s="53">
        <v>1399</v>
      </c>
      <c r="J36" s="56" t="s">
        <v>25</v>
      </c>
      <c r="K36" s="24">
        <v>1</v>
      </c>
      <c r="L36" s="105"/>
      <c r="M36" s="33" t="s">
        <v>33</v>
      </c>
      <c r="N36" s="33"/>
      <c r="O36" s="33"/>
      <c r="P36" s="19"/>
    </row>
    <row r="37" spans="1:16" ht="54">
      <c r="A37" s="587">
        <v>31</v>
      </c>
      <c r="B37" s="79" t="s">
        <v>75</v>
      </c>
      <c r="C37" s="79"/>
      <c r="D37" s="22" t="s">
        <v>40</v>
      </c>
      <c r="E37" s="90" t="s">
        <v>94</v>
      </c>
      <c r="F37" s="47">
        <v>91140</v>
      </c>
      <c r="G37" s="19" t="s">
        <v>23</v>
      </c>
      <c r="H37" s="19" t="s">
        <v>41</v>
      </c>
      <c r="I37" s="53">
        <v>1399</v>
      </c>
      <c r="J37" s="56" t="s">
        <v>25</v>
      </c>
      <c r="K37" s="24">
        <v>1</v>
      </c>
      <c r="L37" s="105"/>
      <c r="M37" s="33" t="s">
        <v>33</v>
      </c>
      <c r="N37" s="33"/>
      <c r="O37" s="33"/>
      <c r="P37" s="19"/>
    </row>
    <row r="38" spans="1:16" ht="72" customHeight="1">
      <c r="A38" s="587">
        <v>32</v>
      </c>
      <c r="B38" s="79" t="s">
        <v>75</v>
      </c>
      <c r="C38" s="79"/>
      <c r="D38" s="22" t="s">
        <v>40</v>
      </c>
      <c r="E38" s="90" t="s">
        <v>228</v>
      </c>
      <c r="F38" s="177">
        <v>1674000</v>
      </c>
      <c r="G38" s="19" t="s">
        <v>23</v>
      </c>
      <c r="H38" s="19" t="s">
        <v>41</v>
      </c>
      <c r="I38" s="53">
        <v>1399</v>
      </c>
      <c r="J38" s="56" t="s">
        <v>25</v>
      </c>
      <c r="K38" s="24">
        <v>1</v>
      </c>
      <c r="L38" s="105" t="s">
        <v>947</v>
      </c>
      <c r="M38" s="33" t="s">
        <v>33</v>
      </c>
      <c r="N38" s="22" t="s">
        <v>325</v>
      </c>
      <c r="O38" s="22" t="s">
        <v>969</v>
      </c>
      <c r="P38" s="19"/>
    </row>
    <row r="39" spans="1:16" ht="82.9" customHeight="1">
      <c r="A39" s="587">
        <v>33</v>
      </c>
      <c r="B39" s="79" t="s">
        <v>75</v>
      </c>
      <c r="C39" s="79"/>
      <c r="D39" s="22" t="s">
        <v>40</v>
      </c>
      <c r="E39" s="90" t="s">
        <v>235</v>
      </c>
      <c r="F39" s="177">
        <v>744000</v>
      </c>
      <c r="G39" s="19" t="s">
        <v>23</v>
      </c>
      <c r="H39" s="19" t="s">
        <v>41</v>
      </c>
      <c r="I39" s="53">
        <v>1399</v>
      </c>
      <c r="J39" s="56" t="s">
        <v>25</v>
      </c>
      <c r="K39" s="24">
        <v>1</v>
      </c>
      <c r="L39" s="105" t="s">
        <v>947</v>
      </c>
      <c r="M39" s="33" t="s">
        <v>33</v>
      </c>
      <c r="N39" s="22" t="s">
        <v>325</v>
      </c>
      <c r="O39" s="22" t="s">
        <v>969</v>
      </c>
      <c r="P39" s="19"/>
    </row>
    <row r="40" spans="1:16" ht="90">
      <c r="A40" s="587">
        <v>34</v>
      </c>
      <c r="B40" s="79" t="s">
        <v>75</v>
      </c>
      <c r="C40" s="79"/>
      <c r="D40" s="22" t="s">
        <v>40</v>
      </c>
      <c r="E40" s="90" t="s">
        <v>95</v>
      </c>
      <c r="F40" s="177">
        <v>104160</v>
      </c>
      <c r="G40" s="19" t="s">
        <v>23</v>
      </c>
      <c r="H40" s="19" t="s">
        <v>41</v>
      </c>
      <c r="I40" s="53">
        <v>1399</v>
      </c>
      <c r="J40" s="56" t="s">
        <v>25</v>
      </c>
      <c r="K40" s="24">
        <v>1</v>
      </c>
      <c r="L40" s="105" t="s">
        <v>947</v>
      </c>
      <c r="M40" s="33" t="s">
        <v>33</v>
      </c>
      <c r="N40" s="22" t="s">
        <v>325</v>
      </c>
      <c r="O40" s="22" t="s">
        <v>969</v>
      </c>
      <c r="P40" s="19"/>
    </row>
    <row r="41" spans="1:16" ht="81.599999999999994" customHeight="1">
      <c r="A41" s="587">
        <v>35</v>
      </c>
      <c r="B41" s="79" t="s">
        <v>75</v>
      </c>
      <c r="C41" s="79"/>
      <c r="D41" s="22" t="s">
        <v>40</v>
      </c>
      <c r="E41" s="90" t="s">
        <v>236</v>
      </c>
      <c r="F41" s="177">
        <v>260400</v>
      </c>
      <c r="G41" s="19" t="s">
        <v>23</v>
      </c>
      <c r="H41" s="19" t="s">
        <v>41</v>
      </c>
      <c r="I41" s="53">
        <v>1399</v>
      </c>
      <c r="J41" s="56" t="s">
        <v>25</v>
      </c>
      <c r="K41" s="24">
        <v>1</v>
      </c>
      <c r="L41" s="105" t="s">
        <v>947</v>
      </c>
      <c r="M41" s="33" t="s">
        <v>33</v>
      </c>
      <c r="N41" s="22" t="s">
        <v>325</v>
      </c>
      <c r="O41" s="22" t="s">
        <v>969</v>
      </c>
      <c r="P41" s="19"/>
    </row>
    <row r="42" spans="1:16" ht="72">
      <c r="A42" s="587">
        <v>36</v>
      </c>
      <c r="B42" s="90" t="s">
        <v>75</v>
      </c>
      <c r="C42" s="79"/>
      <c r="D42" s="40" t="s">
        <v>76</v>
      </c>
      <c r="E42" s="79" t="s">
        <v>237</v>
      </c>
      <c r="F42" s="47">
        <v>50052562</v>
      </c>
      <c r="G42" s="19" t="s">
        <v>23</v>
      </c>
      <c r="H42" s="22" t="s">
        <v>77</v>
      </c>
      <c r="I42" s="19">
        <v>1399</v>
      </c>
      <c r="J42" s="22" t="s">
        <v>25</v>
      </c>
      <c r="K42" s="60">
        <v>1</v>
      </c>
      <c r="L42" s="33"/>
      <c r="M42" s="33" t="s">
        <v>33</v>
      </c>
      <c r="N42" s="33"/>
      <c r="O42" s="33"/>
      <c r="P42" s="33"/>
    </row>
    <row r="43" spans="1:16" s="461" customFormat="1" ht="47.45" customHeight="1">
      <c r="A43" s="587">
        <v>37</v>
      </c>
      <c r="B43" s="353" t="s">
        <v>75</v>
      </c>
      <c r="C43" s="353" t="s">
        <v>1017</v>
      </c>
      <c r="D43" s="22" t="s">
        <v>168</v>
      </c>
      <c r="E43" s="22" t="s">
        <v>1018</v>
      </c>
      <c r="F43" s="47">
        <v>1579680</v>
      </c>
      <c r="G43" s="642" t="s">
        <v>23</v>
      </c>
      <c r="H43" s="642" t="s">
        <v>77</v>
      </c>
      <c r="I43" s="53">
        <v>1399</v>
      </c>
      <c r="J43" s="56" t="s">
        <v>25</v>
      </c>
      <c r="K43" s="24">
        <v>1</v>
      </c>
      <c r="L43" s="467"/>
      <c r="M43" s="33" t="s">
        <v>33</v>
      </c>
      <c r="N43" s="33"/>
      <c r="O43" s="33"/>
      <c r="P43" s="467"/>
    </row>
    <row r="44" spans="1:16" s="461" customFormat="1" ht="47.45" customHeight="1">
      <c r="A44" s="587">
        <v>38</v>
      </c>
      <c r="B44" s="353" t="s">
        <v>75</v>
      </c>
      <c r="C44" s="353" t="s">
        <v>1017</v>
      </c>
      <c r="D44" s="22" t="s">
        <v>168</v>
      </c>
      <c r="E44" s="22" t="s">
        <v>1019</v>
      </c>
      <c r="F44" s="47">
        <v>77600</v>
      </c>
      <c r="G44" s="467" t="s">
        <v>23</v>
      </c>
      <c r="H44" s="467" t="s">
        <v>77</v>
      </c>
      <c r="I44" s="53">
        <v>1399</v>
      </c>
      <c r="J44" s="56" t="s">
        <v>25</v>
      </c>
      <c r="K44" s="24">
        <v>1</v>
      </c>
      <c r="L44" s="467"/>
      <c r="M44" s="33" t="s">
        <v>33</v>
      </c>
      <c r="N44" s="33"/>
      <c r="O44" s="33"/>
      <c r="P44" s="467"/>
    </row>
    <row r="45" spans="1:16" s="461" customFormat="1" ht="59.45" customHeight="1">
      <c r="A45" s="587">
        <v>39</v>
      </c>
      <c r="B45" s="353" t="s">
        <v>75</v>
      </c>
      <c r="C45" s="353" t="s">
        <v>1011</v>
      </c>
      <c r="D45" s="22" t="s">
        <v>111</v>
      </c>
      <c r="E45" s="22" t="s">
        <v>1020</v>
      </c>
      <c r="F45" s="47">
        <v>210000</v>
      </c>
      <c r="G45" s="467" t="s">
        <v>23</v>
      </c>
      <c r="H45" s="467" t="s">
        <v>77</v>
      </c>
      <c r="I45" s="53">
        <v>1399</v>
      </c>
      <c r="J45" s="56" t="s">
        <v>25</v>
      </c>
      <c r="K45" s="24">
        <v>1</v>
      </c>
      <c r="L45" s="467"/>
      <c r="M45" s="33" t="s">
        <v>33</v>
      </c>
      <c r="N45" s="33"/>
      <c r="O45" s="33"/>
      <c r="P45" s="467"/>
    </row>
    <row r="46" spans="1:16" s="461" customFormat="1" ht="36">
      <c r="A46" s="587">
        <v>40</v>
      </c>
      <c r="B46" s="353" t="s">
        <v>75</v>
      </c>
      <c r="C46" s="353" t="s">
        <v>1009</v>
      </c>
      <c r="D46" s="22" t="s">
        <v>111</v>
      </c>
      <c r="E46" s="22" t="s">
        <v>112</v>
      </c>
      <c r="F46" s="47">
        <v>240000</v>
      </c>
      <c r="G46" s="467" t="s">
        <v>23</v>
      </c>
      <c r="H46" s="467" t="s">
        <v>77</v>
      </c>
      <c r="I46" s="53">
        <v>1399</v>
      </c>
      <c r="J46" s="56" t="s">
        <v>25</v>
      </c>
      <c r="K46" s="24">
        <v>1</v>
      </c>
      <c r="L46" s="467"/>
      <c r="M46" s="33" t="s">
        <v>33</v>
      </c>
      <c r="N46" s="33"/>
      <c r="O46" s="33"/>
      <c r="P46" s="467"/>
    </row>
    <row r="47" spans="1:16" s="461" customFormat="1" ht="86.25" customHeight="1">
      <c r="A47" s="587">
        <v>41</v>
      </c>
      <c r="B47" s="353" t="s">
        <v>75</v>
      </c>
      <c r="C47" s="353" t="s">
        <v>1021</v>
      </c>
      <c r="D47" s="40" t="s">
        <v>156</v>
      </c>
      <c r="E47" s="40" t="s">
        <v>1022</v>
      </c>
      <c r="F47" s="47">
        <v>11950000</v>
      </c>
      <c r="G47" s="467" t="s">
        <v>23</v>
      </c>
      <c r="H47" s="467" t="s">
        <v>77</v>
      </c>
      <c r="I47" s="53">
        <v>1399</v>
      </c>
      <c r="J47" s="56" t="s">
        <v>25</v>
      </c>
      <c r="K47" s="24"/>
      <c r="L47" s="467" t="s">
        <v>72</v>
      </c>
      <c r="M47" s="33" t="s">
        <v>33</v>
      </c>
      <c r="N47" s="33" t="s">
        <v>1023</v>
      </c>
      <c r="O47" s="33" t="s">
        <v>1024</v>
      </c>
      <c r="P47" s="467"/>
    </row>
    <row r="48" spans="1:16" s="559" customFormat="1" ht="108" customHeight="1">
      <c r="A48" s="587">
        <v>42</v>
      </c>
      <c r="B48" s="237" t="s">
        <v>20</v>
      </c>
      <c r="C48" s="196"/>
      <c r="D48" s="196" t="s">
        <v>1473</v>
      </c>
      <c r="E48" s="237" t="s">
        <v>1013</v>
      </c>
      <c r="F48" s="259">
        <v>385370</v>
      </c>
      <c r="G48" s="354" t="s">
        <v>23</v>
      </c>
      <c r="H48" s="476" t="s">
        <v>24</v>
      </c>
      <c r="I48" s="354">
        <v>1399</v>
      </c>
      <c r="J48" s="556" t="s">
        <v>25</v>
      </c>
      <c r="K48" s="163">
        <v>1</v>
      </c>
      <c r="L48" s="33"/>
      <c r="M48" s="33" t="s">
        <v>33</v>
      </c>
      <c r="N48" s="33"/>
      <c r="O48" s="236"/>
      <c r="P48" s="560"/>
    </row>
    <row r="49" spans="1:16" s="559" customFormat="1" ht="61.5" customHeight="1">
      <c r="A49" s="587">
        <v>43</v>
      </c>
      <c r="B49" s="557" t="s">
        <v>75</v>
      </c>
      <c r="C49" s="557"/>
      <c r="D49" s="196" t="s">
        <v>1474</v>
      </c>
      <c r="E49" s="237" t="s">
        <v>97</v>
      </c>
      <c r="F49" s="47">
        <v>1282840</v>
      </c>
      <c r="G49" s="561" t="s">
        <v>23</v>
      </c>
      <c r="H49" s="561" t="s">
        <v>77</v>
      </c>
      <c r="I49" s="53">
        <v>1399</v>
      </c>
      <c r="J49" s="56" t="s">
        <v>25</v>
      </c>
      <c r="K49" s="265">
        <v>0</v>
      </c>
      <c r="L49" s="561" t="s">
        <v>72</v>
      </c>
      <c r="M49" s="33"/>
      <c r="N49" s="623" t="s">
        <v>581</v>
      </c>
      <c r="O49" s="236" t="s">
        <v>1833</v>
      </c>
      <c r="P49" s="561"/>
    </row>
    <row r="50" spans="1:16" ht="18">
      <c r="A50" s="90"/>
      <c r="B50" s="96"/>
      <c r="C50" s="96"/>
      <c r="D50" s="96"/>
      <c r="E50" s="96"/>
      <c r="F50" s="96"/>
      <c r="G50" s="96"/>
      <c r="H50" s="96"/>
      <c r="I50" s="96"/>
      <c r="J50" s="96"/>
      <c r="K50" s="96"/>
      <c r="M50" s="96"/>
      <c r="N50" s="96"/>
      <c r="O50" s="96"/>
    </row>
  </sheetData>
  <autoFilter ref="D1:D50"/>
  <mergeCells count="17">
    <mergeCell ref="L5:L6"/>
    <mergeCell ref="M5:M6"/>
    <mergeCell ref="A1:P4"/>
    <mergeCell ref="A5:A6"/>
    <mergeCell ref="B5:B6"/>
    <mergeCell ref="C5:C6"/>
    <mergeCell ref="D5:D6"/>
    <mergeCell ref="E5:E6"/>
    <mergeCell ref="N5:N6"/>
    <mergeCell ref="O5:O6"/>
    <mergeCell ref="P5:P6"/>
    <mergeCell ref="I5:I6"/>
    <mergeCell ref="J5:J6"/>
    <mergeCell ref="K5:K6"/>
    <mergeCell ref="F5:F6"/>
    <mergeCell ref="G5:G6"/>
    <mergeCell ref="H5:H6"/>
  </mergeCells>
  <printOptions horizontalCentered="1"/>
  <pageMargins left="0.2" right="0.2" top="0.5" bottom="0.5" header="0.3" footer="0.3"/>
  <pageSetup paperSize="9" scale="60"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sheetPr>
    <tabColor rgb="FF92D050"/>
  </sheetPr>
  <dimension ref="A1:P78"/>
  <sheetViews>
    <sheetView rightToLeft="1" topLeftCell="A73" zoomScale="82" zoomScaleNormal="82" workbookViewId="0">
      <selection activeCell="K79" sqref="K79"/>
    </sheetView>
  </sheetViews>
  <sheetFormatPr defaultColWidth="9.140625" defaultRowHeight="15"/>
  <cols>
    <col min="1" max="1" width="6.28515625" style="92" customWidth="1"/>
    <col min="2" max="2" width="14.7109375" style="93" customWidth="1"/>
    <col min="3" max="3" width="13" style="93" customWidth="1"/>
    <col min="4" max="4" width="13.5703125" style="93" customWidth="1"/>
    <col min="5" max="5" width="30.85546875" style="136" customWidth="1"/>
    <col min="6" max="6" width="16.7109375" style="94" customWidth="1"/>
    <col min="7" max="7" width="11.7109375" style="94" customWidth="1"/>
    <col min="8" max="8" width="13.5703125" style="94" customWidth="1"/>
    <col min="9" max="9" width="10.85546875" style="92" customWidth="1"/>
    <col min="10" max="10" width="16.42578125" style="95" customWidth="1"/>
    <col min="11" max="11" width="12.85546875" style="139" customWidth="1"/>
    <col min="12" max="12" width="8.85546875" style="96" customWidth="1"/>
    <col min="13" max="13" width="17.42578125" style="142" customWidth="1"/>
    <col min="14" max="14" width="24.7109375" style="95" customWidth="1"/>
    <col min="15" max="15" width="15.85546875" style="95" customWidth="1"/>
    <col min="16" max="16" width="15.7109375" style="96" customWidth="1"/>
    <col min="17" max="16384" width="9.140625" style="4"/>
  </cols>
  <sheetData>
    <row r="1" spans="1:16" ht="18" customHeight="1">
      <c r="A1" s="830" t="s">
        <v>1878</v>
      </c>
      <c r="B1" s="831"/>
      <c r="C1" s="831"/>
      <c r="D1" s="831"/>
      <c r="E1" s="831"/>
      <c r="F1" s="831"/>
      <c r="G1" s="831"/>
      <c r="H1" s="831"/>
      <c r="I1" s="831"/>
      <c r="J1" s="831"/>
      <c r="K1" s="831"/>
      <c r="L1" s="831"/>
      <c r="M1" s="831"/>
      <c r="N1" s="831"/>
      <c r="O1" s="831"/>
      <c r="P1" s="831"/>
    </row>
    <row r="2" spans="1:16" ht="18" customHeight="1">
      <c r="A2" s="831"/>
      <c r="B2" s="831"/>
      <c r="C2" s="831"/>
      <c r="D2" s="831"/>
      <c r="E2" s="831"/>
      <c r="F2" s="831"/>
      <c r="G2" s="831"/>
      <c r="H2" s="831"/>
      <c r="I2" s="831"/>
      <c r="J2" s="831"/>
      <c r="K2" s="831"/>
      <c r="L2" s="831"/>
      <c r="M2" s="831"/>
      <c r="N2" s="831"/>
      <c r="O2" s="831"/>
      <c r="P2" s="831"/>
    </row>
    <row r="3" spans="1:16" ht="18" customHeight="1">
      <c r="A3" s="831"/>
      <c r="B3" s="831"/>
      <c r="C3" s="831"/>
      <c r="D3" s="831"/>
      <c r="E3" s="831"/>
      <c r="F3" s="831"/>
      <c r="G3" s="831"/>
      <c r="H3" s="831"/>
      <c r="I3" s="831"/>
      <c r="J3" s="831"/>
      <c r="K3" s="831"/>
      <c r="L3" s="831"/>
      <c r="M3" s="831"/>
      <c r="N3" s="831"/>
      <c r="O3" s="831"/>
      <c r="P3" s="831"/>
    </row>
    <row r="4" spans="1:16" ht="18" customHeight="1">
      <c r="A4" s="832"/>
      <c r="B4" s="832"/>
      <c r="C4" s="832"/>
      <c r="D4" s="832"/>
      <c r="E4" s="832"/>
      <c r="F4" s="832"/>
      <c r="G4" s="832"/>
      <c r="H4" s="832"/>
      <c r="I4" s="832"/>
      <c r="J4" s="832"/>
      <c r="K4" s="832"/>
      <c r="L4" s="832"/>
      <c r="M4" s="832"/>
      <c r="N4" s="832"/>
      <c r="O4" s="832"/>
      <c r="P4" s="832"/>
    </row>
    <row r="5" spans="1:16" ht="24.6" customHeight="1">
      <c r="A5" s="792" t="s">
        <v>0</v>
      </c>
      <c r="B5" s="792" t="s">
        <v>14</v>
      </c>
      <c r="C5" s="792" t="s">
        <v>18</v>
      </c>
      <c r="D5" s="792" t="s">
        <v>1</v>
      </c>
      <c r="E5" s="792" t="s">
        <v>15</v>
      </c>
      <c r="F5" s="792" t="s">
        <v>9</v>
      </c>
      <c r="G5" s="792"/>
      <c r="H5" s="792"/>
      <c r="I5" s="792" t="s">
        <v>7</v>
      </c>
      <c r="J5" s="792" t="s">
        <v>6</v>
      </c>
      <c r="K5" s="811" t="s">
        <v>16</v>
      </c>
      <c r="L5" s="792" t="s">
        <v>2</v>
      </c>
      <c r="M5" s="792"/>
      <c r="N5" s="792" t="s">
        <v>5</v>
      </c>
      <c r="O5" s="812" t="s">
        <v>13</v>
      </c>
      <c r="P5" s="792" t="s">
        <v>8</v>
      </c>
    </row>
    <row r="6" spans="1:16" ht="51.6" customHeight="1">
      <c r="A6" s="792"/>
      <c r="B6" s="792"/>
      <c r="C6" s="792"/>
      <c r="D6" s="792"/>
      <c r="E6" s="792"/>
      <c r="F6" s="346" t="s">
        <v>10</v>
      </c>
      <c r="G6" s="346" t="s">
        <v>11</v>
      </c>
      <c r="H6" s="346" t="s">
        <v>12</v>
      </c>
      <c r="I6" s="792"/>
      <c r="J6" s="792"/>
      <c r="K6" s="811"/>
      <c r="L6" s="346" t="s">
        <v>3</v>
      </c>
      <c r="M6" s="355" t="s">
        <v>4</v>
      </c>
      <c r="N6" s="792"/>
      <c r="O6" s="813"/>
      <c r="P6" s="792"/>
    </row>
    <row r="7" spans="1:16" s="5" customFormat="1" ht="72">
      <c r="A7" s="583">
        <v>1</v>
      </c>
      <c r="B7" s="578" t="s">
        <v>75</v>
      </c>
      <c r="C7" s="578"/>
      <c r="D7" s="440" t="s">
        <v>1533</v>
      </c>
      <c r="E7" s="22" t="s">
        <v>1534</v>
      </c>
      <c r="F7" s="30">
        <v>266666.40000000002</v>
      </c>
      <c r="G7" s="583" t="s">
        <v>23</v>
      </c>
      <c r="H7" s="583" t="s">
        <v>77</v>
      </c>
      <c r="I7" s="583">
        <v>1399</v>
      </c>
      <c r="J7" s="583" t="s">
        <v>25</v>
      </c>
      <c r="K7" s="106">
        <v>1</v>
      </c>
      <c r="L7" s="480"/>
      <c r="M7" s="349" t="s">
        <v>33</v>
      </c>
      <c r="N7" s="480"/>
      <c r="O7" s="480"/>
      <c r="P7" s="480"/>
    </row>
    <row r="8" spans="1:16" s="5" customFormat="1" ht="72">
      <c r="A8" s="583">
        <v>2</v>
      </c>
      <c r="B8" s="578" t="s">
        <v>75</v>
      </c>
      <c r="C8" s="578"/>
      <c r="D8" s="440" t="s">
        <v>1533</v>
      </c>
      <c r="E8" s="22" t="s">
        <v>1535</v>
      </c>
      <c r="F8" s="30">
        <v>444443.99999999994</v>
      </c>
      <c r="G8" s="583" t="s">
        <v>23</v>
      </c>
      <c r="H8" s="583" t="s">
        <v>77</v>
      </c>
      <c r="I8" s="583">
        <v>1399</v>
      </c>
      <c r="J8" s="583" t="s">
        <v>25</v>
      </c>
      <c r="K8" s="106">
        <v>1</v>
      </c>
      <c r="L8" s="480"/>
      <c r="M8" s="349" t="s">
        <v>33</v>
      </c>
      <c r="N8" s="480"/>
      <c r="O8" s="480"/>
      <c r="P8" s="480"/>
    </row>
    <row r="9" spans="1:16" s="5" customFormat="1" ht="72">
      <c r="A9" s="588">
        <v>3</v>
      </c>
      <c r="B9" s="578" t="s">
        <v>75</v>
      </c>
      <c r="C9" s="578"/>
      <c r="D9" s="440" t="s">
        <v>1533</v>
      </c>
      <c r="E9" s="22" t="s">
        <v>1536</v>
      </c>
      <c r="F9" s="30">
        <v>1066668</v>
      </c>
      <c r="G9" s="583" t="s">
        <v>23</v>
      </c>
      <c r="H9" s="583" t="s">
        <v>77</v>
      </c>
      <c r="I9" s="583">
        <v>1399</v>
      </c>
      <c r="J9" s="583" t="s">
        <v>25</v>
      </c>
      <c r="K9" s="106">
        <v>1</v>
      </c>
      <c r="L9" s="480"/>
      <c r="M9" s="349" t="s">
        <v>33</v>
      </c>
      <c r="N9" s="480"/>
      <c r="O9" s="480"/>
      <c r="P9" s="480"/>
    </row>
    <row r="10" spans="1:16" s="5" customFormat="1" ht="72">
      <c r="A10" s="588">
        <v>4</v>
      </c>
      <c r="B10" s="578" t="s">
        <v>75</v>
      </c>
      <c r="C10" s="578"/>
      <c r="D10" s="440" t="s">
        <v>1533</v>
      </c>
      <c r="E10" s="40" t="s">
        <v>1537</v>
      </c>
      <c r="F10" s="30">
        <v>1333335</v>
      </c>
      <c r="G10" s="583" t="s">
        <v>23</v>
      </c>
      <c r="H10" s="583" t="s">
        <v>77</v>
      </c>
      <c r="I10" s="583">
        <v>1399</v>
      </c>
      <c r="J10" s="583" t="s">
        <v>25</v>
      </c>
      <c r="K10" s="106">
        <v>1</v>
      </c>
      <c r="L10" s="480"/>
      <c r="M10" s="349" t="s">
        <v>33</v>
      </c>
      <c r="N10" s="480"/>
      <c r="O10" s="480"/>
      <c r="P10" s="480"/>
    </row>
    <row r="11" spans="1:16" s="5" customFormat="1" ht="72">
      <c r="A11" s="588">
        <v>5</v>
      </c>
      <c r="B11" s="578" t="s">
        <v>75</v>
      </c>
      <c r="C11" s="578"/>
      <c r="D11" s="440" t="s">
        <v>1533</v>
      </c>
      <c r="E11" s="40" t="s">
        <v>1538</v>
      </c>
      <c r="F11" s="30">
        <v>800000</v>
      </c>
      <c r="G11" s="583" t="s">
        <v>23</v>
      </c>
      <c r="H11" s="583" t="s">
        <v>77</v>
      </c>
      <c r="I11" s="583">
        <v>1399</v>
      </c>
      <c r="J11" s="583" t="s">
        <v>25</v>
      </c>
      <c r="K11" s="106">
        <v>1</v>
      </c>
      <c r="L11" s="480"/>
      <c r="M11" s="349" t="s">
        <v>33</v>
      </c>
      <c r="N11" s="480"/>
      <c r="O11" s="480"/>
      <c r="P11" s="480"/>
    </row>
    <row r="12" spans="1:16" s="5" customFormat="1" ht="72">
      <c r="A12" s="588">
        <v>6</v>
      </c>
      <c r="B12" s="578" t="s">
        <v>75</v>
      </c>
      <c r="C12" s="578"/>
      <c r="D12" s="440" t="s">
        <v>1533</v>
      </c>
      <c r="E12" s="40" t="s">
        <v>1539</v>
      </c>
      <c r="F12" s="30">
        <v>711112</v>
      </c>
      <c r="G12" s="583" t="s">
        <v>23</v>
      </c>
      <c r="H12" s="583" t="s">
        <v>77</v>
      </c>
      <c r="I12" s="583">
        <v>1399</v>
      </c>
      <c r="J12" s="583" t="s">
        <v>25</v>
      </c>
      <c r="K12" s="106">
        <v>1</v>
      </c>
      <c r="L12" s="480"/>
      <c r="M12" s="349" t="s">
        <v>33</v>
      </c>
      <c r="N12" s="480"/>
      <c r="O12" s="480"/>
      <c r="P12" s="480"/>
    </row>
    <row r="13" spans="1:16" s="5" customFormat="1" ht="72">
      <c r="A13" s="588">
        <v>7</v>
      </c>
      <c r="B13" s="578" t="s">
        <v>75</v>
      </c>
      <c r="C13" s="578"/>
      <c r="D13" s="440" t="s">
        <v>1533</v>
      </c>
      <c r="E13" s="40" t="s">
        <v>1540</v>
      </c>
      <c r="F13" s="30">
        <v>266663</v>
      </c>
      <c r="G13" s="583" t="s">
        <v>23</v>
      </c>
      <c r="H13" s="583" t="s">
        <v>77</v>
      </c>
      <c r="I13" s="583">
        <v>1399</v>
      </c>
      <c r="J13" s="583" t="s">
        <v>25</v>
      </c>
      <c r="K13" s="106">
        <v>1</v>
      </c>
      <c r="L13" s="480"/>
      <c r="M13" s="349" t="s">
        <v>33</v>
      </c>
      <c r="N13" s="480"/>
      <c r="O13" s="480"/>
      <c r="P13" s="480"/>
    </row>
    <row r="14" spans="1:16" s="5" customFormat="1" ht="72">
      <c r="A14" s="588">
        <v>8</v>
      </c>
      <c r="B14" s="578" t="s">
        <v>75</v>
      </c>
      <c r="C14" s="578"/>
      <c r="D14" s="440" t="s">
        <v>1533</v>
      </c>
      <c r="E14" s="40" t="s">
        <v>1541</v>
      </c>
      <c r="F14" s="30">
        <v>354666.66666666663</v>
      </c>
      <c r="G14" s="583" t="s">
        <v>23</v>
      </c>
      <c r="H14" s="583" t="s">
        <v>77</v>
      </c>
      <c r="I14" s="583">
        <v>1399</v>
      </c>
      <c r="J14" s="583" t="s">
        <v>25</v>
      </c>
      <c r="K14" s="106">
        <v>1</v>
      </c>
      <c r="L14" s="480"/>
      <c r="M14" s="349" t="s">
        <v>33</v>
      </c>
      <c r="N14" s="480"/>
      <c r="O14" s="480"/>
      <c r="P14" s="480"/>
    </row>
    <row r="15" spans="1:16" s="5" customFormat="1" ht="33.6" customHeight="1">
      <c r="A15" s="588">
        <v>9</v>
      </c>
      <c r="B15" s="578" t="s">
        <v>75</v>
      </c>
      <c r="C15" s="578" t="s">
        <v>1542</v>
      </c>
      <c r="D15" s="440" t="s">
        <v>1533</v>
      </c>
      <c r="E15" s="40" t="s">
        <v>1515</v>
      </c>
      <c r="F15" s="30">
        <v>446333.33333333331</v>
      </c>
      <c r="G15" s="583" t="s">
        <v>23</v>
      </c>
      <c r="H15" s="583" t="s">
        <v>77</v>
      </c>
      <c r="I15" s="583">
        <v>1399</v>
      </c>
      <c r="J15" s="583" t="s">
        <v>25</v>
      </c>
      <c r="K15" s="106">
        <v>1</v>
      </c>
      <c r="L15" s="480"/>
      <c r="M15" s="349" t="s">
        <v>33</v>
      </c>
      <c r="N15" s="480"/>
      <c r="O15" s="480"/>
      <c r="P15" s="480"/>
    </row>
    <row r="16" spans="1:16" s="5" customFormat="1" ht="72">
      <c r="A16" s="588">
        <v>10</v>
      </c>
      <c r="B16" s="578" t="s">
        <v>75</v>
      </c>
      <c r="C16" s="578"/>
      <c r="D16" s="440" t="s">
        <v>1533</v>
      </c>
      <c r="E16" s="40" t="s">
        <v>321</v>
      </c>
      <c r="F16" s="30">
        <v>123000</v>
      </c>
      <c r="G16" s="583" t="s">
        <v>23</v>
      </c>
      <c r="H16" s="583" t="s">
        <v>77</v>
      </c>
      <c r="I16" s="583">
        <v>1399</v>
      </c>
      <c r="J16" s="583" t="s">
        <v>25</v>
      </c>
      <c r="K16" s="106">
        <v>1</v>
      </c>
      <c r="L16" s="480"/>
      <c r="M16" s="349" t="s">
        <v>33</v>
      </c>
      <c r="N16" s="480"/>
      <c r="O16" s="480"/>
      <c r="P16" s="480"/>
    </row>
    <row r="17" spans="1:16" s="5" customFormat="1" ht="90">
      <c r="A17" s="588">
        <v>11</v>
      </c>
      <c r="B17" s="578" t="s">
        <v>75</v>
      </c>
      <c r="C17" s="578"/>
      <c r="D17" s="440" t="s">
        <v>1533</v>
      </c>
      <c r="E17" s="40" t="s">
        <v>1543</v>
      </c>
      <c r="F17" s="30">
        <v>412000</v>
      </c>
      <c r="G17" s="583" t="s">
        <v>23</v>
      </c>
      <c r="H17" s="583" t="s">
        <v>77</v>
      </c>
      <c r="I17" s="583">
        <v>1399</v>
      </c>
      <c r="J17" s="583" t="s">
        <v>25</v>
      </c>
      <c r="K17" s="106">
        <v>1</v>
      </c>
      <c r="L17" s="480"/>
      <c r="M17" s="349" t="s">
        <v>33</v>
      </c>
      <c r="N17" s="480"/>
      <c r="O17" s="480"/>
      <c r="P17" s="480"/>
    </row>
    <row r="18" spans="1:16" s="5" customFormat="1" ht="90">
      <c r="A18" s="588">
        <v>12</v>
      </c>
      <c r="B18" s="578" t="s">
        <v>75</v>
      </c>
      <c r="C18" s="578"/>
      <c r="D18" s="440" t="s">
        <v>1533</v>
      </c>
      <c r="E18" s="40" t="s">
        <v>1544</v>
      </c>
      <c r="F18" s="30">
        <v>5140000</v>
      </c>
      <c r="G18" s="583" t="s">
        <v>23</v>
      </c>
      <c r="H18" s="583" t="s">
        <v>77</v>
      </c>
      <c r="I18" s="583">
        <v>1399</v>
      </c>
      <c r="J18" s="583" t="s">
        <v>25</v>
      </c>
      <c r="K18" s="106">
        <v>1</v>
      </c>
      <c r="L18" s="480"/>
      <c r="M18" s="349" t="s">
        <v>33</v>
      </c>
      <c r="N18" s="480"/>
      <c r="O18" s="480"/>
      <c r="P18" s="480"/>
    </row>
    <row r="19" spans="1:16" s="5" customFormat="1" ht="72">
      <c r="A19" s="588">
        <v>13</v>
      </c>
      <c r="B19" s="578" t="s">
        <v>75</v>
      </c>
      <c r="C19" s="578"/>
      <c r="D19" s="440" t="s">
        <v>1533</v>
      </c>
      <c r="E19" s="40" t="s">
        <v>1545</v>
      </c>
      <c r="F19" s="30">
        <v>1000000</v>
      </c>
      <c r="G19" s="583" t="s">
        <v>23</v>
      </c>
      <c r="H19" s="583" t="s">
        <v>77</v>
      </c>
      <c r="I19" s="583">
        <v>1399</v>
      </c>
      <c r="J19" s="583" t="s">
        <v>25</v>
      </c>
      <c r="K19" s="106">
        <v>1</v>
      </c>
      <c r="L19" s="480" t="s">
        <v>17</v>
      </c>
      <c r="M19" s="349" t="s">
        <v>33</v>
      </c>
      <c r="N19" s="480"/>
      <c r="O19" s="480"/>
      <c r="P19" s="480"/>
    </row>
    <row r="20" spans="1:16" s="5" customFormat="1" ht="72">
      <c r="A20" s="588">
        <v>14</v>
      </c>
      <c r="B20" s="578" t="s">
        <v>75</v>
      </c>
      <c r="C20" s="578"/>
      <c r="D20" s="440" t="s">
        <v>1533</v>
      </c>
      <c r="E20" s="40" t="s">
        <v>1546</v>
      </c>
      <c r="F20" s="30">
        <v>1640000</v>
      </c>
      <c r="G20" s="583" t="s">
        <v>23</v>
      </c>
      <c r="H20" s="583" t="s">
        <v>77</v>
      </c>
      <c r="I20" s="583">
        <v>1399</v>
      </c>
      <c r="J20" s="583" t="s">
        <v>25</v>
      </c>
      <c r="K20" s="106">
        <v>1</v>
      </c>
      <c r="L20" s="480"/>
      <c r="M20" s="349" t="s">
        <v>33</v>
      </c>
      <c r="N20" s="480"/>
      <c r="O20" s="480"/>
      <c r="P20" s="480"/>
    </row>
    <row r="21" spans="1:16" s="5" customFormat="1" ht="72">
      <c r="A21" s="588">
        <v>15</v>
      </c>
      <c r="B21" s="578" t="s">
        <v>75</v>
      </c>
      <c r="C21" s="578"/>
      <c r="D21" s="440" t="s">
        <v>1533</v>
      </c>
      <c r="E21" s="40" t="s">
        <v>322</v>
      </c>
      <c r="F21" s="30">
        <v>72000</v>
      </c>
      <c r="G21" s="583" t="s">
        <v>23</v>
      </c>
      <c r="H21" s="583" t="s">
        <v>77</v>
      </c>
      <c r="I21" s="583">
        <v>1399</v>
      </c>
      <c r="J21" s="583" t="s">
        <v>25</v>
      </c>
      <c r="K21" s="106">
        <v>1</v>
      </c>
      <c r="L21" s="480" t="s">
        <v>17</v>
      </c>
      <c r="M21" s="349" t="s">
        <v>33</v>
      </c>
      <c r="N21" s="480"/>
      <c r="O21" s="480"/>
      <c r="P21" s="480"/>
    </row>
    <row r="22" spans="1:16" s="26" customFormat="1" ht="84" customHeight="1">
      <c r="A22" s="588">
        <v>16</v>
      </c>
      <c r="B22" s="84" t="s">
        <v>75</v>
      </c>
      <c r="C22" s="84"/>
      <c r="D22" s="42" t="s">
        <v>21</v>
      </c>
      <c r="E22" s="40" t="s">
        <v>327</v>
      </c>
      <c r="F22" s="30">
        <v>1280000</v>
      </c>
      <c r="G22" s="19" t="s">
        <v>23</v>
      </c>
      <c r="H22" s="19" t="s">
        <v>77</v>
      </c>
      <c r="I22" s="19">
        <v>1399</v>
      </c>
      <c r="J22" s="19" t="s">
        <v>25</v>
      </c>
      <c r="K22" s="106">
        <v>1</v>
      </c>
      <c r="L22" s="19"/>
      <c r="M22" s="349" t="s">
        <v>33</v>
      </c>
      <c r="N22" s="19"/>
      <c r="O22" s="353"/>
      <c r="P22" s="42"/>
    </row>
    <row r="23" spans="1:16" s="26" customFormat="1" ht="105" customHeight="1">
      <c r="A23" s="588">
        <v>17</v>
      </c>
      <c r="B23" s="84" t="s">
        <v>75</v>
      </c>
      <c r="C23" s="84"/>
      <c r="D23" s="42" t="s">
        <v>21</v>
      </c>
      <c r="E23" s="40" t="s">
        <v>206</v>
      </c>
      <c r="F23" s="30">
        <v>67000</v>
      </c>
      <c r="G23" s="19" t="s">
        <v>23</v>
      </c>
      <c r="H23" s="19" t="s">
        <v>77</v>
      </c>
      <c r="I23" s="19">
        <v>1399</v>
      </c>
      <c r="J23" s="19" t="s">
        <v>25</v>
      </c>
      <c r="K23" s="24">
        <v>1</v>
      </c>
      <c r="L23" s="19"/>
      <c r="M23" s="349" t="s">
        <v>33</v>
      </c>
      <c r="N23" s="19"/>
      <c r="O23" s="353"/>
      <c r="P23" s="42"/>
    </row>
    <row r="24" spans="1:16" s="26" customFormat="1" ht="36">
      <c r="A24" s="588">
        <v>18</v>
      </c>
      <c r="B24" s="84" t="s">
        <v>75</v>
      </c>
      <c r="C24" s="84"/>
      <c r="D24" s="42" t="s">
        <v>21</v>
      </c>
      <c r="E24" s="40" t="s">
        <v>26</v>
      </c>
      <c r="F24" s="30">
        <v>202500</v>
      </c>
      <c r="G24" s="19" t="s">
        <v>23</v>
      </c>
      <c r="H24" s="19" t="s">
        <v>77</v>
      </c>
      <c r="I24" s="19">
        <v>1399</v>
      </c>
      <c r="J24" s="19" t="s">
        <v>25</v>
      </c>
      <c r="K24" s="106">
        <v>1</v>
      </c>
      <c r="L24" s="111"/>
      <c r="M24" s="349" t="s">
        <v>33</v>
      </c>
      <c r="N24" s="111"/>
      <c r="O24" s="353"/>
      <c r="P24" s="42"/>
    </row>
    <row r="25" spans="1:16" s="26" customFormat="1" ht="66" customHeight="1">
      <c r="A25" s="588">
        <v>19</v>
      </c>
      <c r="B25" s="84" t="s">
        <v>75</v>
      </c>
      <c r="C25" s="84"/>
      <c r="D25" s="42" t="s">
        <v>21</v>
      </c>
      <c r="E25" s="40" t="s">
        <v>27</v>
      </c>
      <c r="F25" s="30">
        <v>30000</v>
      </c>
      <c r="G25" s="19" t="s">
        <v>23</v>
      </c>
      <c r="H25" s="19" t="s">
        <v>77</v>
      </c>
      <c r="I25" s="19">
        <v>1399</v>
      </c>
      <c r="J25" s="19" t="s">
        <v>25</v>
      </c>
      <c r="K25" s="106">
        <v>1</v>
      </c>
      <c r="L25" s="111"/>
      <c r="M25" s="349" t="s">
        <v>33</v>
      </c>
      <c r="N25" s="111"/>
      <c r="O25" s="353"/>
      <c r="P25" s="42"/>
    </row>
    <row r="26" spans="1:16" s="26" customFormat="1" ht="63" customHeight="1">
      <c r="A26" s="588">
        <v>20</v>
      </c>
      <c r="B26" s="84" t="s">
        <v>75</v>
      </c>
      <c r="C26" s="84"/>
      <c r="D26" s="42" t="s">
        <v>28</v>
      </c>
      <c r="E26" s="121" t="s">
        <v>207</v>
      </c>
      <c r="F26" s="30">
        <v>8400000</v>
      </c>
      <c r="G26" s="19" t="s">
        <v>23</v>
      </c>
      <c r="H26" s="19" t="s">
        <v>77</v>
      </c>
      <c r="I26" s="19">
        <v>1399</v>
      </c>
      <c r="J26" s="19" t="s">
        <v>25</v>
      </c>
      <c r="K26" s="106">
        <v>1</v>
      </c>
      <c r="L26" s="40"/>
      <c r="M26" s="349" t="s">
        <v>33</v>
      </c>
      <c r="N26" s="22"/>
      <c r="O26" s="40"/>
      <c r="P26" s="25" t="s">
        <v>17</v>
      </c>
    </row>
    <row r="27" spans="1:16" s="26" customFormat="1" ht="63" customHeight="1">
      <c r="A27" s="588">
        <v>21</v>
      </c>
      <c r="B27" s="84" t="s">
        <v>75</v>
      </c>
      <c r="C27" s="84"/>
      <c r="D27" s="42" t="s">
        <v>28</v>
      </c>
      <c r="E27" s="40" t="s">
        <v>29</v>
      </c>
      <c r="F27" s="30">
        <v>135000</v>
      </c>
      <c r="G27" s="19" t="s">
        <v>23</v>
      </c>
      <c r="H27" s="19" t="s">
        <v>77</v>
      </c>
      <c r="I27" s="19">
        <v>1399</v>
      </c>
      <c r="J27" s="19" t="s">
        <v>25</v>
      </c>
      <c r="K27" s="106">
        <v>1</v>
      </c>
      <c r="L27" s="111"/>
      <c r="M27" s="349" t="s">
        <v>33</v>
      </c>
      <c r="N27" s="111"/>
      <c r="O27" s="79"/>
      <c r="P27" s="42"/>
    </row>
    <row r="28" spans="1:16" s="26" customFormat="1" ht="108">
      <c r="A28" s="588">
        <v>22</v>
      </c>
      <c r="B28" s="84" t="s">
        <v>75</v>
      </c>
      <c r="C28" s="84"/>
      <c r="D28" s="42" t="s">
        <v>28</v>
      </c>
      <c r="E28" s="121" t="s">
        <v>99</v>
      </c>
      <c r="F28" s="30">
        <v>62250</v>
      </c>
      <c r="G28" s="19" t="s">
        <v>23</v>
      </c>
      <c r="H28" s="19" t="s">
        <v>77</v>
      </c>
      <c r="I28" s="19">
        <v>1399</v>
      </c>
      <c r="J28" s="19" t="s">
        <v>25</v>
      </c>
      <c r="K28" s="106">
        <v>1</v>
      </c>
      <c r="L28" s="111"/>
      <c r="M28" s="349" t="s">
        <v>33</v>
      </c>
      <c r="N28" s="111"/>
      <c r="O28" s="79"/>
      <c r="P28" s="42"/>
    </row>
    <row r="29" spans="1:16" s="26" customFormat="1" ht="57" customHeight="1">
      <c r="A29" s="588">
        <v>23</v>
      </c>
      <c r="B29" s="84" t="s">
        <v>75</v>
      </c>
      <c r="C29" s="84"/>
      <c r="D29" s="42" t="s">
        <v>31</v>
      </c>
      <c r="E29" s="40" t="s">
        <v>80</v>
      </c>
      <c r="F29" s="30">
        <v>489500</v>
      </c>
      <c r="G29" s="19" t="s">
        <v>23</v>
      </c>
      <c r="H29" s="19" t="s">
        <v>77</v>
      </c>
      <c r="I29" s="19">
        <v>1399</v>
      </c>
      <c r="J29" s="19" t="s">
        <v>25</v>
      </c>
      <c r="K29" s="106">
        <v>1</v>
      </c>
      <c r="L29" s="111"/>
      <c r="M29" s="349" t="s">
        <v>33</v>
      </c>
      <c r="N29" s="111"/>
      <c r="O29" s="42"/>
      <c r="P29" s="42"/>
    </row>
    <row r="30" spans="1:16" s="26" customFormat="1" ht="77.25" customHeight="1">
      <c r="A30" s="588">
        <v>24</v>
      </c>
      <c r="B30" s="84" t="s">
        <v>75</v>
      </c>
      <c r="C30" s="84"/>
      <c r="D30" s="42" t="s">
        <v>31</v>
      </c>
      <c r="E30" s="40" t="s">
        <v>34</v>
      </c>
      <c r="F30" s="30">
        <v>436499</v>
      </c>
      <c r="G30" s="19" t="s">
        <v>23</v>
      </c>
      <c r="H30" s="19" t="s">
        <v>77</v>
      </c>
      <c r="I30" s="19">
        <v>1399</v>
      </c>
      <c r="J30" s="19" t="s">
        <v>25</v>
      </c>
      <c r="K30" s="106">
        <v>1</v>
      </c>
      <c r="L30" s="111"/>
      <c r="M30" s="349" t="s">
        <v>33</v>
      </c>
      <c r="N30" s="111"/>
      <c r="O30" s="42"/>
      <c r="P30" s="42"/>
    </row>
    <row r="31" spans="1:16" s="26" customFormat="1" ht="54">
      <c r="A31" s="588">
        <v>25</v>
      </c>
      <c r="B31" s="84" t="s">
        <v>75</v>
      </c>
      <c r="C31" s="84"/>
      <c r="D31" s="42" t="s">
        <v>31</v>
      </c>
      <c r="E31" s="40" t="s">
        <v>32</v>
      </c>
      <c r="F31" s="30">
        <v>319200</v>
      </c>
      <c r="G31" s="19" t="s">
        <v>23</v>
      </c>
      <c r="H31" s="19" t="s">
        <v>77</v>
      </c>
      <c r="I31" s="19">
        <v>1399</v>
      </c>
      <c r="J31" s="19" t="s">
        <v>25</v>
      </c>
      <c r="K31" s="106">
        <v>1</v>
      </c>
      <c r="L31" s="111"/>
      <c r="M31" s="349" t="s">
        <v>33</v>
      </c>
      <c r="N31" s="111"/>
      <c r="O31" s="42"/>
      <c r="P31" s="42"/>
    </row>
    <row r="32" spans="1:16" s="26" customFormat="1" ht="54">
      <c r="A32" s="588">
        <v>26</v>
      </c>
      <c r="B32" s="84" t="s">
        <v>75</v>
      </c>
      <c r="C32" s="84" t="s">
        <v>184</v>
      </c>
      <c r="D32" s="42" t="s">
        <v>31</v>
      </c>
      <c r="E32" s="121" t="s">
        <v>256</v>
      </c>
      <c r="F32" s="140">
        <v>1000000</v>
      </c>
      <c r="G32" s="84" t="s">
        <v>23</v>
      </c>
      <c r="H32" s="84" t="s">
        <v>77</v>
      </c>
      <c r="I32" s="84">
        <v>1399</v>
      </c>
      <c r="J32" s="84" t="s">
        <v>25</v>
      </c>
      <c r="K32" s="106">
        <v>1</v>
      </c>
      <c r="L32" s="141"/>
      <c r="M32" s="349" t="s">
        <v>33</v>
      </c>
      <c r="N32" s="111"/>
      <c r="O32" s="42"/>
      <c r="P32" s="42"/>
    </row>
    <row r="33" spans="1:16" s="34" customFormat="1" ht="47.45" customHeight="1">
      <c r="A33" s="588">
        <v>27</v>
      </c>
      <c r="B33" s="84" t="s">
        <v>75</v>
      </c>
      <c r="C33" s="84"/>
      <c r="D33" s="42" t="s">
        <v>40</v>
      </c>
      <c r="E33" s="121" t="s">
        <v>133</v>
      </c>
      <c r="F33" s="30">
        <v>1413600</v>
      </c>
      <c r="G33" s="19" t="s">
        <v>23</v>
      </c>
      <c r="H33" s="19" t="s">
        <v>41</v>
      </c>
      <c r="I33" s="19">
        <v>1399</v>
      </c>
      <c r="J33" s="19" t="s">
        <v>25</v>
      </c>
      <c r="K33" s="106">
        <v>1</v>
      </c>
      <c r="L33" s="111"/>
      <c r="M33" s="349" t="s">
        <v>33</v>
      </c>
      <c r="N33" s="111"/>
      <c r="O33" s="112"/>
      <c r="P33" s="42"/>
    </row>
    <row r="34" spans="1:16" s="34" customFormat="1" ht="54">
      <c r="A34" s="588">
        <v>28</v>
      </c>
      <c r="B34" s="84" t="s">
        <v>75</v>
      </c>
      <c r="C34" s="84"/>
      <c r="D34" s="42" t="s">
        <v>40</v>
      </c>
      <c r="E34" s="121" t="s">
        <v>208</v>
      </c>
      <c r="F34" s="30">
        <f>80* 58032</f>
        <v>4642560</v>
      </c>
      <c r="G34" s="19" t="s">
        <v>23</v>
      </c>
      <c r="H34" s="19" t="s">
        <v>41</v>
      </c>
      <c r="I34" s="19">
        <v>1399</v>
      </c>
      <c r="J34" s="19" t="s">
        <v>25</v>
      </c>
      <c r="K34" s="106">
        <v>1</v>
      </c>
      <c r="L34" s="111"/>
      <c r="M34" s="349" t="s">
        <v>33</v>
      </c>
      <c r="N34" s="111"/>
      <c r="O34" s="42"/>
      <c r="P34" s="42"/>
    </row>
    <row r="35" spans="1:16" s="34" customFormat="1" ht="77.45" customHeight="1">
      <c r="A35" s="588">
        <v>29</v>
      </c>
      <c r="B35" s="84" t="s">
        <v>75</v>
      </c>
      <c r="C35" s="84"/>
      <c r="D35" s="42" t="s">
        <v>40</v>
      </c>
      <c r="E35" s="121" t="s">
        <v>249</v>
      </c>
      <c r="F35" s="113">
        <v>0</v>
      </c>
      <c r="G35" s="19" t="s">
        <v>17</v>
      </c>
      <c r="H35" s="19" t="s">
        <v>17</v>
      </c>
      <c r="I35" s="19">
        <v>1399</v>
      </c>
      <c r="J35" s="19" t="s">
        <v>25</v>
      </c>
      <c r="K35" s="106">
        <v>1</v>
      </c>
      <c r="L35" s="111"/>
      <c r="M35" s="349" t="s">
        <v>33</v>
      </c>
      <c r="N35" s="111"/>
      <c r="O35" s="114"/>
      <c r="P35" s="113" t="s">
        <v>83</v>
      </c>
    </row>
    <row r="36" spans="1:16" s="34" customFormat="1" ht="54">
      <c r="A36" s="588">
        <v>30</v>
      </c>
      <c r="B36" s="84" t="s">
        <v>75</v>
      </c>
      <c r="C36" s="84"/>
      <c r="D36" s="42" t="s">
        <v>40</v>
      </c>
      <c r="E36" s="121" t="s">
        <v>84</v>
      </c>
      <c r="F36" s="30">
        <f>2* 848904</f>
        <v>1697808</v>
      </c>
      <c r="G36" s="19" t="s">
        <v>23</v>
      </c>
      <c r="H36" s="19" t="s">
        <v>41</v>
      </c>
      <c r="I36" s="19">
        <v>1399</v>
      </c>
      <c r="J36" s="19" t="s">
        <v>25</v>
      </c>
      <c r="K36" s="106">
        <v>1</v>
      </c>
      <c r="L36" s="111"/>
      <c r="M36" s="349" t="s">
        <v>33</v>
      </c>
      <c r="N36" s="111"/>
      <c r="O36" s="112"/>
      <c r="P36" s="79"/>
    </row>
    <row r="37" spans="1:16" s="34" customFormat="1" ht="54">
      <c r="A37" s="588">
        <v>31</v>
      </c>
      <c r="B37" s="84" t="s">
        <v>75</v>
      </c>
      <c r="C37" s="84"/>
      <c r="D37" s="42" t="s">
        <v>40</v>
      </c>
      <c r="E37" s="121" t="s">
        <v>245</v>
      </c>
      <c r="F37" s="30">
        <f>765* 148</f>
        <v>113220</v>
      </c>
      <c r="G37" s="19" t="s">
        <v>23</v>
      </c>
      <c r="H37" s="19" t="s">
        <v>41</v>
      </c>
      <c r="I37" s="19">
        <v>1399</v>
      </c>
      <c r="J37" s="19" t="s">
        <v>25</v>
      </c>
      <c r="K37" s="106">
        <v>1</v>
      </c>
      <c r="L37" s="111"/>
      <c r="M37" s="349" t="s">
        <v>33</v>
      </c>
      <c r="N37" s="111"/>
      <c r="O37" s="42"/>
      <c r="P37" s="42"/>
    </row>
    <row r="38" spans="1:16" s="34" customFormat="1" ht="75.599999999999994" customHeight="1">
      <c r="A38" s="588">
        <v>32</v>
      </c>
      <c r="B38" s="84" t="s">
        <v>75</v>
      </c>
      <c r="C38" s="84"/>
      <c r="D38" s="42" t="s">
        <v>40</v>
      </c>
      <c r="E38" s="121" t="s">
        <v>86</v>
      </c>
      <c r="F38" s="638">
        <f>2* 375000</f>
        <v>750000</v>
      </c>
      <c r="G38" s="19" t="s">
        <v>23</v>
      </c>
      <c r="H38" s="19" t="s">
        <v>41</v>
      </c>
      <c r="I38" s="19">
        <v>1399</v>
      </c>
      <c r="J38" s="19" t="s">
        <v>25</v>
      </c>
      <c r="K38" s="106">
        <v>1</v>
      </c>
      <c r="L38" s="111" t="s">
        <v>947</v>
      </c>
      <c r="M38" s="349" t="s">
        <v>33</v>
      </c>
      <c r="N38" s="22" t="s">
        <v>325</v>
      </c>
      <c r="O38" s="22" t="s">
        <v>970</v>
      </c>
      <c r="P38" s="42"/>
    </row>
    <row r="39" spans="1:16" s="34" customFormat="1" ht="54">
      <c r="A39" s="588">
        <v>33</v>
      </c>
      <c r="B39" s="84" t="s">
        <v>75</v>
      </c>
      <c r="C39" s="84"/>
      <c r="D39" s="42" t="s">
        <v>40</v>
      </c>
      <c r="E39" s="121" t="s">
        <v>246</v>
      </c>
      <c r="F39" s="30">
        <f>27* 22320</f>
        <v>602640</v>
      </c>
      <c r="G39" s="19" t="s">
        <v>23</v>
      </c>
      <c r="H39" s="19" t="s">
        <v>41</v>
      </c>
      <c r="I39" s="19">
        <v>1399</v>
      </c>
      <c r="J39" s="19" t="s">
        <v>25</v>
      </c>
      <c r="K39" s="106">
        <v>1</v>
      </c>
      <c r="L39" s="111"/>
      <c r="M39" s="349" t="s">
        <v>33</v>
      </c>
      <c r="N39" s="111"/>
      <c r="O39" s="42"/>
      <c r="P39" s="42"/>
    </row>
    <row r="40" spans="1:16" s="34" customFormat="1" ht="54">
      <c r="A40" s="588">
        <v>34</v>
      </c>
      <c r="B40" s="84" t="s">
        <v>75</v>
      </c>
      <c r="C40" s="84"/>
      <c r="D40" s="42" t="s">
        <v>40</v>
      </c>
      <c r="E40" s="121" t="s">
        <v>87</v>
      </c>
      <c r="F40" s="30">
        <f>50*3645</f>
        <v>182250</v>
      </c>
      <c r="G40" s="19" t="s">
        <v>23</v>
      </c>
      <c r="H40" s="19" t="s">
        <v>41</v>
      </c>
      <c r="I40" s="19">
        <v>1399</v>
      </c>
      <c r="J40" s="19" t="s">
        <v>25</v>
      </c>
      <c r="K40" s="106">
        <v>1</v>
      </c>
      <c r="L40" s="111"/>
      <c r="M40" s="349" t="s">
        <v>33</v>
      </c>
      <c r="N40" s="111"/>
      <c r="O40" s="42"/>
      <c r="P40" s="42"/>
    </row>
    <row r="41" spans="1:16" s="34" customFormat="1" ht="54">
      <c r="A41" s="588">
        <v>35</v>
      </c>
      <c r="B41" s="84" t="s">
        <v>75</v>
      </c>
      <c r="C41" s="84"/>
      <c r="D41" s="42" t="s">
        <v>40</v>
      </c>
      <c r="E41" s="121" t="s">
        <v>124</v>
      </c>
      <c r="F41" s="30">
        <f>5* 44640</f>
        <v>223200</v>
      </c>
      <c r="G41" s="19" t="s">
        <v>23</v>
      </c>
      <c r="H41" s="19" t="s">
        <v>41</v>
      </c>
      <c r="I41" s="19">
        <v>1399</v>
      </c>
      <c r="J41" s="19" t="s">
        <v>25</v>
      </c>
      <c r="K41" s="106">
        <v>1</v>
      </c>
      <c r="L41" s="111"/>
      <c r="M41" s="349" t="s">
        <v>33</v>
      </c>
      <c r="N41" s="111"/>
      <c r="O41" s="42"/>
      <c r="P41" s="42"/>
    </row>
    <row r="42" spans="1:16" s="34" customFormat="1" ht="54">
      <c r="A42" s="588">
        <v>36</v>
      </c>
      <c r="B42" s="84" t="s">
        <v>75</v>
      </c>
      <c r="C42" s="84"/>
      <c r="D42" s="42" t="s">
        <v>40</v>
      </c>
      <c r="E42" s="121" t="s">
        <v>46</v>
      </c>
      <c r="F42" s="30">
        <f>5* 52471</f>
        <v>262355</v>
      </c>
      <c r="G42" s="19" t="s">
        <v>23</v>
      </c>
      <c r="H42" s="19" t="s">
        <v>41</v>
      </c>
      <c r="I42" s="19">
        <v>1399</v>
      </c>
      <c r="J42" s="19" t="s">
        <v>25</v>
      </c>
      <c r="K42" s="106">
        <v>1</v>
      </c>
      <c r="L42" s="111"/>
      <c r="M42" s="349" t="s">
        <v>33</v>
      </c>
      <c r="N42" s="111"/>
      <c r="O42" s="42"/>
      <c r="P42" s="42"/>
    </row>
    <row r="43" spans="1:16" s="34" customFormat="1" ht="75" customHeight="1">
      <c r="A43" s="588">
        <v>37</v>
      </c>
      <c r="B43" s="84" t="s">
        <v>75</v>
      </c>
      <c r="C43" s="84"/>
      <c r="D43" s="42" t="s">
        <v>40</v>
      </c>
      <c r="E43" s="121" t="s">
        <v>257</v>
      </c>
      <c r="F43" s="30">
        <f>100*1518</f>
        <v>151800</v>
      </c>
      <c r="G43" s="19" t="s">
        <v>23</v>
      </c>
      <c r="H43" s="19" t="s">
        <v>41</v>
      </c>
      <c r="I43" s="19">
        <v>1399</v>
      </c>
      <c r="J43" s="19" t="s">
        <v>25</v>
      </c>
      <c r="K43" s="106">
        <v>1</v>
      </c>
      <c r="L43" s="111"/>
      <c r="M43" s="349" t="s">
        <v>33</v>
      </c>
      <c r="N43" s="111"/>
      <c r="O43" s="42"/>
      <c r="P43" s="42"/>
    </row>
    <row r="44" spans="1:16" s="34" customFormat="1" ht="75" customHeight="1">
      <c r="A44" s="588">
        <v>38</v>
      </c>
      <c r="B44" s="84" t="s">
        <v>75</v>
      </c>
      <c r="C44" s="84"/>
      <c r="D44" s="42" t="s">
        <v>40</v>
      </c>
      <c r="E44" s="121" t="s">
        <v>247</v>
      </c>
      <c r="F44" s="30">
        <f>3* 42514</f>
        <v>127542</v>
      </c>
      <c r="G44" s="19" t="s">
        <v>23</v>
      </c>
      <c r="H44" s="19" t="s">
        <v>41</v>
      </c>
      <c r="I44" s="19">
        <v>1399</v>
      </c>
      <c r="J44" s="19" t="s">
        <v>25</v>
      </c>
      <c r="K44" s="106">
        <v>1</v>
      </c>
      <c r="L44" s="111"/>
      <c r="M44" s="349" t="s">
        <v>33</v>
      </c>
      <c r="N44" s="111"/>
      <c r="O44" s="42"/>
      <c r="P44" s="42"/>
    </row>
    <row r="45" spans="1:16" s="34" customFormat="1" ht="75" customHeight="1">
      <c r="A45" s="588">
        <v>39</v>
      </c>
      <c r="B45" s="84" t="s">
        <v>75</v>
      </c>
      <c r="C45" s="84"/>
      <c r="D45" s="42" t="s">
        <v>40</v>
      </c>
      <c r="E45" s="40" t="s">
        <v>91</v>
      </c>
      <c r="F45" s="638">
        <f>100*1041</f>
        <v>104100</v>
      </c>
      <c r="G45" s="19" t="s">
        <v>23</v>
      </c>
      <c r="H45" s="19" t="s">
        <v>41</v>
      </c>
      <c r="I45" s="19">
        <v>1399</v>
      </c>
      <c r="J45" s="19" t="s">
        <v>25</v>
      </c>
      <c r="K45" s="106">
        <v>1</v>
      </c>
      <c r="L45" s="111" t="s">
        <v>947</v>
      </c>
      <c r="M45" s="349" t="s">
        <v>33</v>
      </c>
      <c r="N45" s="22" t="s">
        <v>325</v>
      </c>
      <c r="O45" s="22" t="s">
        <v>970</v>
      </c>
      <c r="P45" s="42"/>
    </row>
    <row r="46" spans="1:16" s="34" customFormat="1" ht="75" customHeight="1">
      <c r="A46" s="588">
        <v>40</v>
      </c>
      <c r="B46" s="84" t="s">
        <v>75</v>
      </c>
      <c r="C46" s="84"/>
      <c r="D46" s="42" t="s">
        <v>40</v>
      </c>
      <c r="E46" s="40" t="s">
        <v>92</v>
      </c>
      <c r="F46" s="638">
        <f>150* 729</f>
        <v>109350</v>
      </c>
      <c r="G46" s="19" t="s">
        <v>23</v>
      </c>
      <c r="H46" s="19" t="s">
        <v>41</v>
      </c>
      <c r="I46" s="19">
        <v>1399</v>
      </c>
      <c r="J46" s="19" t="s">
        <v>25</v>
      </c>
      <c r="K46" s="106">
        <v>1</v>
      </c>
      <c r="L46" s="111" t="s">
        <v>947</v>
      </c>
      <c r="M46" s="349" t="s">
        <v>33</v>
      </c>
      <c r="N46" s="22" t="s">
        <v>325</v>
      </c>
      <c r="O46" s="22" t="s">
        <v>970</v>
      </c>
      <c r="P46" s="42"/>
    </row>
    <row r="47" spans="1:16" s="34" customFormat="1" ht="75" customHeight="1">
      <c r="A47" s="588">
        <v>41</v>
      </c>
      <c r="B47" s="84" t="s">
        <v>75</v>
      </c>
      <c r="C47" s="84"/>
      <c r="D47" s="42" t="s">
        <v>40</v>
      </c>
      <c r="E47" s="40" t="s">
        <v>93</v>
      </c>
      <c r="F47" s="30">
        <f>100* 911</f>
        <v>91100</v>
      </c>
      <c r="G47" s="19" t="s">
        <v>23</v>
      </c>
      <c r="H47" s="19" t="s">
        <v>41</v>
      </c>
      <c r="I47" s="19">
        <v>1399</v>
      </c>
      <c r="J47" s="19" t="s">
        <v>25</v>
      </c>
      <c r="K47" s="106">
        <v>1</v>
      </c>
      <c r="L47" s="111" t="s">
        <v>947</v>
      </c>
      <c r="M47" s="349" t="s">
        <v>33</v>
      </c>
      <c r="N47" s="22" t="s">
        <v>325</v>
      </c>
      <c r="O47" s="22" t="s">
        <v>970</v>
      </c>
      <c r="P47" s="42"/>
    </row>
    <row r="48" spans="1:16" s="34" customFormat="1" ht="49.9" customHeight="1">
      <c r="A48" s="588">
        <v>42</v>
      </c>
      <c r="B48" s="84" t="s">
        <v>75</v>
      </c>
      <c r="C48" s="84"/>
      <c r="D48" s="42" t="s">
        <v>40</v>
      </c>
      <c r="E48" s="121" t="s">
        <v>243</v>
      </c>
      <c r="F48" s="30">
        <f>600* 315</f>
        <v>189000</v>
      </c>
      <c r="G48" s="19" t="s">
        <v>23</v>
      </c>
      <c r="H48" s="19" t="s">
        <v>41</v>
      </c>
      <c r="I48" s="19">
        <v>1399</v>
      </c>
      <c r="J48" s="19" t="s">
        <v>25</v>
      </c>
      <c r="K48" s="106">
        <v>1</v>
      </c>
      <c r="L48" s="111"/>
      <c r="M48" s="349" t="s">
        <v>33</v>
      </c>
      <c r="N48" s="111"/>
      <c r="O48" s="42"/>
      <c r="P48" s="42"/>
    </row>
    <row r="49" spans="1:16" s="34" customFormat="1" ht="85.15" customHeight="1">
      <c r="A49" s="588">
        <v>43</v>
      </c>
      <c r="B49" s="84" t="s">
        <v>75</v>
      </c>
      <c r="C49" s="84"/>
      <c r="D49" s="42" t="s">
        <v>40</v>
      </c>
      <c r="E49" s="121" t="s">
        <v>94</v>
      </c>
      <c r="F49" s="30">
        <f>2* 45570</f>
        <v>91140</v>
      </c>
      <c r="G49" s="19" t="s">
        <v>23</v>
      </c>
      <c r="H49" s="19" t="s">
        <v>41</v>
      </c>
      <c r="I49" s="19">
        <v>1399</v>
      </c>
      <c r="J49" s="19" t="s">
        <v>25</v>
      </c>
      <c r="K49" s="106">
        <v>1</v>
      </c>
      <c r="L49" s="111" t="s">
        <v>947</v>
      </c>
      <c r="M49" s="349" t="s">
        <v>33</v>
      </c>
      <c r="N49" s="22" t="s">
        <v>325</v>
      </c>
      <c r="O49" s="22" t="s">
        <v>970</v>
      </c>
      <c r="P49" s="42"/>
    </row>
    <row r="50" spans="1:16" s="34" customFormat="1" ht="93" customHeight="1">
      <c r="A50" s="588">
        <v>44</v>
      </c>
      <c r="B50" s="84" t="s">
        <v>75</v>
      </c>
      <c r="C50" s="84"/>
      <c r="D50" s="42" t="s">
        <v>40</v>
      </c>
      <c r="E50" s="121" t="s">
        <v>51</v>
      </c>
      <c r="F50" s="30">
        <f>5* 10416</f>
        <v>52080</v>
      </c>
      <c r="G50" s="19" t="s">
        <v>23</v>
      </c>
      <c r="H50" s="19" t="s">
        <v>41</v>
      </c>
      <c r="I50" s="19">
        <v>1399</v>
      </c>
      <c r="J50" s="19" t="s">
        <v>25</v>
      </c>
      <c r="K50" s="106">
        <v>1</v>
      </c>
      <c r="L50" s="111" t="s">
        <v>947</v>
      </c>
      <c r="M50" s="349" t="s">
        <v>33</v>
      </c>
      <c r="N50" s="22" t="s">
        <v>325</v>
      </c>
      <c r="O50" s="22" t="s">
        <v>970</v>
      </c>
      <c r="P50" s="42"/>
    </row>
    <row r="51" spans="1:16" s="34" customFormat="1" ht="88.15" customHeight="1">
      <c r="A51" s="588">
        <v>45</v>
      </c>
      <c r="B51" s="84" t="s">
        <v>75</v>
      </c>
      <c r="C51" s="84"/>
      <c r="D51" s="42" t="s">
        <v>40</v>
      </c>
      <c r="E51" s="121" t="s">
        <v>104</v>
      </c>
      <c r="F51" s="30">
        <f>10*36456</f>
        <v>364560</v>
      </c>
      <c r="G51" s="19" t="s">
        <v>23</v>
      </c>
      <c r="H51" s="19" t="s">
        <v>41</v>
      </c>
      <c r="I51" s="19">
        <v>1399</v>
      </c>
      <c r="J51" s="19" t="s">
        <v>25</v>
      </c>
      <c r="K51" s="106">
        <v>1</v>
      </c>
      <c r="L51" s="111" t="s">
        <v>947</v>
      </c>
      <c r="M51" s="349" t="s">
        <v>33</v>
      </c>
      <c r="N51" s="22" t="s">
        <v>325</v>
      </c>
      <c r="O51" s="22" t="s">
        <v>970</v>
      </c>
      <c r="P51" s="42"/>
    </row>
    <row r="52" spans="1:16" s="34" customFormat="1" ht="97.15" customHeight="1">
      <c r="A52" s="588">
        <v>46</v>
      </c>
      <c r="B52" s="84" t="s">
        <v>75</v>
      </c>
      <c r="C52" s="84"/>
      <c r="D52" s="42" t="s">
        <v>40</v>
      </c>
      <c r="E52" s="121" t="s">
        <v>126</v>
      </c>
      <c r="F52" s="30">
        <v>396797</v>
      </c>
      <c r="G52" s="19" t="s">
        <v>23</v>
      </c>
      <c r="H52" s="19" t="s">
        <v>41</v>
      </c>
      <c r="I52" s="19">
        <v>1399</v>
      </c>
      <c r="J52" s="19" t="s">
        <v>25</v>
      </c>
      <c r="K52" s="106">
        <v>1</v>
      </c>
      <c r="L52" s="111" t="s">
        <v>947</v>
      </c>
      <c r="M52" s="349" t="s">
        <v>33</v>
      </c>
      <c r="N52" s="22" t="s">
        <v>325</v>
      </c>
      <c r="O52" s="22" t="s">
        <v>970</v>
      </c>
      <c r="P52" s="42"/>
    </row>
    <row r="53" spans="1:16" s="34" customFormat="1" ht="54.6" customHeight="1">
      <c r="A53" s="588">
        <v>47</v>
      </c>
      <c r="B53" s="84" t="s">
        <v>75</v>
      </c>
      <c r="C53" s="84"/>
      <c r="D53" s="42" t="s">
        <v>40</v>
      </c>
      <c r="E53" s="121" t="s">
        <v>258</v>
      </c>
      <c r="F53" s="30">
        <f>30000* 31</f>
        <v>930000</v>
      </c>
      <c r="G53" s="19" t="s">
        <v>23</v>
      </c>
      <c r="H53" s="19" t="s">
        <v>41</v>
      </c>
      <c r="I53" s="19">
        <v>1399</v>
      </c>
      <c r="J53" s="19" t="s">
        <v>25</v>
      </c>
      <c r="K53" s="106">
        <v>1</v>
      </c>
      <c r="L53" s="111"/>
      <c r="M53" s="349" t="s">
        <v>33</v>
      </c>
      <c r="N53" s="111"/>
      <c r="O53" s="42"/>
      <c r="P53" s="42"/>
    </row>
    <row r="54" spans="1:16" s="34" customFormat="1" ht="51" customHeight="1">
      <c r="A54" s="588">
        <v>48</v>
      </c>
      <c r="B54" s="84" t="s">
        <v>75</v>
      </c>
      <c r="C54" s="84"/>
      <c r="D54" s="42" t="s">
        <v>40</v>
      </c>
      <c r="E54" s="121" t="s">
        <v>259</v>
      </c>
      <c r="F54" s="30">
        <f>200000* 6.4</f>
        <v>1280000</v>
      </c>
      <c r="G54" s="19" t="s">
        <v>23</v>
      </c>
      <c r="H54" s="19" t="s">
        <v>41</v>
      </c>
      <c r="I54" s="19">
        <v>1399</v>
      </c>
      <c r="J54" s="19" t="s">
        <v>25</v>
      </c>
      <c r="K54" s="106">
        <v>1</v>
      </c>
      <c r="L54" s="111"/>
      <c r="M54" s="349" t="s">
        <v>33</v>
      </c>
      <c r="N54" s="111"/>
      <c r="O54" s="42"/>
      <c r="P54" s="42"/>
    </row>
    <row r="55" spans="1:16" s="34" customFormat="1" ht="78" customHeight="1">
      <c r="A55" s="588">
        <v>49</v>
      </c>
      <c r="B55" s="84" t="s">
        <v>75</v>
      </c>
      <c r="C55" s="84"/>
      <c r="D55" s="42" t="s">
        <v>40</v>
      </c>
      <c r="E55" s="121" t="s">
        <v>260</v>
      </c>
      <c r="F55" s="30">
        <f>13* 38500</f>
        <v>500500</v>
      </c>
      <c r="G55" s="19" t="s">
        <v>23</v>
      </c>
      <c r="H55" s="19" t="s">
        <v>41</v>
      </c>
      <c r="I55" s="19">
        <v>1399</v>
      </c>
      <c r="J55" s="19" t="s">
        <v>25</v>
      </c>
      <c r="K55" s="106">
        <v>1</v>
      </c>
      <c r="L55" s="111"/>
      <c r="M55" s="349" t="s">
        <v>33</v>
      </c>
      <c r="N55" s="111"/>
      <c r="O55" s="42"/>
      <c r="P55" s="42"/>
    </row>
    <row r="56" spans="1:16" s="34" customFormat="1" ht="83.45" customHeight="1">
      <c r="A56" s="588">
        <v>50</v>
      </c>
      <c r="B56" s="84" t="s">
        <v>75</v>
      </c>
      <c r="C56" s="84"/>
      <c r="D56" s="42" t="s">
        <v>40</v>
      </c>
      <c r="E56" s="121" t="s">
        <v>52</v>
      </c>
      <c r="F56" s="113">
        <v>300000</v>
      </c>
      <c r="G56" s="19" t="s">
        <v>23</v>
      </c>
      <c r="H56" s="19" t="s">
        <v>41</v>
      </c>
      <c r="I56" s="19">
        <v>1399</v>
      </c>
      <c r="J56" s="19" t="s">
        <v>25</v>
      </c>
      <c r="K56" s="106">
        <v>1</v>
      </c>
      <c r="L56" s="111"/>
      <c r="M56" s="349" t="s">
        <v>33</v>
      </c>
      <c r="N56" s="111"/>
      <c r="O56" s="42"/>
      <c r="P56" s="42"/>
    </row>
    <row r="57" spans="1:16" s="34" customFormat="1" ht="79.150000000000006" customHeight="1">
      <c r="A57" s="588">
        <v>51</v>
      </c>
      <c r="B57" s="84" t="s">
        <v>75</v>
      </c>
      <c r="C57" s="84"/>
      <c r="D57" s="42" t="s">
        <v>40</v>
      </c>
      <c r="E57" s="121" t="s">
        <v>261</v>
      </c>
      <c r="F57" s="113">
        <v>1000000</v>
      </c>
      <c r="G57" s="19" t="s">
        <v>23</v>
      </c>
      <c r="H57" s="19" t="s">
        <v>41</v>
      </c>
      <c r="I57" s="19">
        <v>1399</v>
      </c>
      <c r="J57" s="19" t="s">
        <v>25</v>
      </c>
      <c r="K57" s="106">
        <v>1</v>
      </c>
      <c r="L57" s="111"/>
      <c r="M57" s="349" t="s">
        <v>33</v>
      </c>
      <c r="N57" s="111"/>
      <c r="O57" s="42"/>
      <c r="P57" s="42"/>
    </row>
    <row r="58" spans="1:16" s="34" customFormat="1" ht="143.44999999999999" customHeight="1">
      <c r="A58" s="588">
        <v>52</v>
      </c>
      <c r="B58" s="84" t="s">
        <v>75</v>
      </c>
      <c r="C58" s="84"/>
      <c r="D58" s="42" t="s">
        <v>40</v>
      </c>
      <c r="E58" s="121" t="s">
        <v>262</v>
      </c>
      <c r="F58" s="30">
        <f>9* 148610</f>
        <v>1337490</v>
      </c>
      <c r="G58" s="19" t="s">
        <v>23</v>
      </c>
      <c r="H58" s="19" t="s">
        <v>41</v>
      </c>
      <c r="I58" s="19">
        <v>1399</v>
      </c>
      <c r="J58" s="19" t="s">
        <v>25</v>
      </c>
      <c r="K58" s="106">
        <v>1</v>
      </c>
      <c r="L58" s="111"/>
      <c r="M58" s="349" t="s">
        <v>33</v>
      </c>
      <c r="N58" s="111"/>
      <c r="O58" s="115"/>
      <c r="P58" s="42"/>
    </row>
    <row r="59" spans="1:16" s="34" customFormat="1" ht="82.9" customHeight="1">
      <c r="A59" s="588">
        <v>53</v>
      </c>
      <c r="B59" s="84" t="s">
        <v>75</v>
      </c>
      <c r="C59" s="84"/>
      <c r="D59" s="42" t="s">
        <v>40</v>
      </c>
      <c r="E59" s="121" t="s">
        <v>263</v>
      </c>
      <c r="F59" s="682">
        <f>(10010000/1000000)*60000</f>
        <v>600600</v>
      </c>
      <c r="G59" s="19" t="s">
        <v>23</v>
      </c>
      <c r="H59" s="19" t="s">
        <v>41</v>
      </c>
      <c r="I59" s="19">
        <v>1399</v>
      </c>
      <c r="J59" s="19" t="s">
        <v>25</v>
      </c>
      <c r="K59" s="106">
        <v>1</v>
      </c>
      <c r="L59" s="111" t="s">
        <v>947</v>
      </c>
      <c r="M59" s="349" t="s">
        <v>33</v>
      </c>
      <c r="N59" s="22" t="s">
        <v>325</v>
      </c>
      <c r="O59" s="22" t="s">
        <v>970</v>
      </c>
      <c r="P59" s="42"/>
    </row>
    <row r="60" spans="1:16" s="34" customFormat="1" ht="84" customHeight="1">
      <c r="A60" s="588">
        <v>54</v>
      </c>
      <c r="B60" s="84" t="s">
        <v>75</v>
      </c>
      <c r="C60" s="84"/>
      <c r="D60" s="42" t="s">
        <v>40</v>
      </c>
      <c r="E60" s="121" t="s">
        <v>96</v>
      </c>
      <c r="F60" s="682">
        <v>2695000</v>
      </c>
      <c r="G60" s="19" t="s">
        <v>23</v>
      </c>
      <c r="H60" s="19" t="s">
        <v>41</v>
      </c>
      <c r="I60" s="19">
        <v>1399</v>
      </c>
      <c r="J60" s="19" t="s">
        <v>25</v>
      </c>
      <c r="K60" s="106">
        <v>1</v>
      </c>
      <c r="L60" s="111" t="s">
        <v>947</v>
      </c>
      <c r="M60" s="349" t="s">
        <v>33</v>
      </c>
      <c r="N60" s="22" t="s">
        <v>325</v>
      </c>
      <c r="O60" s="22" t="s">
        <v>970</v>
      </c>
      <c r="P60" s="42"/>
    </row>
    <row r="61" spans="1:16" s="34" customFormat="1" ht="72">
      <c r="A61" s="588">
        <v>55</v>
      </c>
      <c r="B61" s="84" t="s">
        <v>75</v>
      </c>
      <c r="C61" s="84"/>
      <c r="D61" s="42" t="s">
        <v>40</v>
      </c>
      <c r="E61" s="121" t="s">
        <v>127</v>
      </c>
      <c r="F61" s="30">
        <f>8*66000</f>
        <v>528000</v>
      </c>
      <c r="G61" s="19" t="s">
        <v>23</v>
      </c>
      <c r="H61" s="19" t="s">
        <v>41</v>
      </c>
      <c r="I61" s="19">
        <v>1399</v>
      </c>
      <c r="J61" s="19" t="s">
        <v>25</v>
      </c>
      <c r="K61" s="106">
        <v>1</v>
      </c>
      <c r="L61" s="111"/>
      <c r="M61" s="349" t="s">
        <v>33</v>
      </c>
      <c r="N61" s="111"/>
      <c r="O61" s="42"/>
      <c r="P61" s="42"/>
    </row>
    <row r="62" spans="1:16" s="34" customFormat="1" ht="122.25" customHeight="1">
      <c r="A62" s="588">
        <v>56</v>
      </c>
      <c r="B62" s="84" t="s">
        <v>75</v>
      </c>
      <c r="C62" s="84"/>
      <c r="D62" s="42" t="s">
        <v>40</v>
      </c>
      <c r="E62" s="121" t="s">
        <v>128</v>
      </c>
      <c r="F62" s="30">
        <f>16*30000</f>
        <v>480000</v>
      </c>
      <c r="G62" s="19" t="s">
        <v>23</v>
      </c>
      <c r="H62" s="19" t="s">
        <v>41</v>
      </c>
      <c r="I62" s="19">
        <v>1399</v>
      </c>
      <c r="J62" s="19" t="s">
        <v>25</v>
      </c>
      <c r="K62" s="106">
        <v>1</v>
      </c>
      <c r="L62" s="111"/>
      <c r="M62" s="349" t="s">
        <v>33</v>
      </c>
      <c r="N62" s="111"/>
      <c r="O62" s="42"/>
      <c r="P62" s="42"/>
    </row>
    <row r="63" spans="1:16" s="34" customFormat="1" ht="90">
      <c r="A63" s="588">
        <v>57</v>
      </c>
      <c r="B63" s="84" t="s">
        <v>75</v>
      </c>
      <c r="C63" s="84"/>
      <c r="D63" s="42" t="s">
        <v>40</v>
      </c>
      <c r="E63" s="121" t="s">
        <v>264</v>
      </c>
      <c r="F63" s="682">
        <f>1040* 900</f>
        <v>936000</v>
      </c>
      <c r="G63" s="19" t="s">
        <v>23</v>
      </c>
      <c r="H63" s="19" t="s">
        <v>41</v>
      </c>
      <c r="I63" s="19">
        <v>1399</v>
      </c>
      <c r="J63" s="19" t="s">
        <v>25</v>
      </c>
      <c r="K63" s="106">
        <v>1</v>
      </c>
      <c r="L63" s="111" t="s">
        <v>947</v>
      </c>
      <c r="M63" s="349" t="s">
        <v>33</v>
      </c>
      <c r="N63" s="22" t="s">
        <v>325</v>
      </c>
      <c r="O63" s="22" t="s">
        <v>970</v>
      </c>
      <c r="P63" s="42"/>
    </row>
    <row r="64" spans="1:16" s="34" customFormat="1" ht="93" customHeight="1">
      <c r="A64" s="588">
        <v>58</v>
      </c>
      <c r="B64" s="84" t="s">
        <v>75</v>
      </c>
      <c r="C64" s="84"/>
      <c r="D64" s="42" t="s">
        <v>108</v>
      </c>
      <c r="E64" s="40" t="s">
        <v>265</v>
      </c>
      <c r="F64" s="30">
        <v>2449400</v>
      </c>
      <c r="G64" s="19" t="s">
        <v>23</v>
      </c>
      <c r="H64" s="19" t="s">
        <v>77</v>
      </c>
      <c r="I64" s="19">
        <v>1399</v>
      </c>
      <c r="J64" s="19" t="s">
        <v>25</v>
      </c>
      <c r="K64" s="106">
        <v>1</v>
      </c>
      <c r="L64" s="111"/>
      <c r="M64" s="349" t="s">
        <v>33</v>
      </c>
      <c r="N64" s="111"/>
      <c r="O64" s="42"/>
      <c r="P64" s="42"/>
    </row>
    <row r="65" spans="1:16" ht="90">
      <c r="A65" s="588">
        <v>59</v>
      </c>
      <c r="B65" s="84" t="s">
        <v>75</v>
      </c>
      <c r="C65" s="84"/>
      <c r="D65" s="42" t="s">
        <v>76</v>
      </c>
      <c r="E65" s="40" t="s">
        <v>267</v>
      </c>
      <c r="F65" s="116">
        <v>140235562</v>
      </c>
      <c r="G65" s="19" t="s">
        <v>23</v>
      </c>
      <c r="H65" s="19" t="s">
        <v>77</v>
      </c>
      <c r="I65" s="19">
        <v>1399</v>
      </c>
      <c r="J65" s="19" t="s">
        <v>25</v>
      </c>
      <c r="K65" s="106">
        <v>1</v>
      </c>
      <c r="L65" s="19"/>
      <c r="M65" s="349" t="s">
        <v>33</v>
      </c>
      <c r="N65" s="19"/>
      <c r="O65" s="19"/>
      <c r="P65" s="19"/>
    </row>
    <row r="66" spans="1:16" s="5" customFormat="1" ht="99" customHeight="1">
      <c r="A66" s="588">
        <v>60</v>
      </c>
      <c r="B66" s="351" t="s">
        <v>75</v>
      </c>
      <c r="C66" s="702" t="s">
        <v>1047</v>
      </c>
      <c r="D66" s="440" t="s">
        <v>1048</v>
      </c>
      <c r="E66" s="40" t="s">
        <v>1049</v>
      </c>
      <c r="F66" s="30">
        <v>14600000</v>
      </c>
      <c r="G66" s="704" t="s">
        <v>23</v>
      </c>
      <c r="H66" s="704" t="s">
        <v>69</v>
      </c>
      <c r="I66" s="704">
        <v>1399</v>
      </c>
      <c r="J66" s="704" t="s">
        <v>25</v>
      </c>
      <c r="K66" s="106">
        <v>1</v>
      </c>
      <c r="L66" s="480"/>
      <c r="M66" s="349" t="s">
        <v>71</v>
      </c>
      <c r="N66" s="480"/>
      <c r="O66" s="480"/>
      <c r="P66" s="480"/>
    </row>
    <row r="67" spans="1:16" s="5" customFormat="1" ht="90">
      <c r="A67" s="588">
        <v>61</v>
      </c>
      <c r="B67" s="351" t="s">
        <v>75</v>
      </c>
      <c r="C67" s="702"/>
      <c r="D67" s="440" t="s">
        <v>1048</v>
      </c>
      <c r="E67" s="481" t="s">
        <v>1050</v>
      </c>
      <c r="F67" s="30">
        <v>14000000</v>
      </c>
      <c r="G67" s="704" t="s">
        <v>23</v>
      </c>
      <c r="H67" s="704" t="s">
        <v>69</v>
      </c>
      <c r="I67" s="704">
        <v>1399</v>
      </c>
      <c r="J67" s="704" t="s">
        <v>25</v>
      </c>
      <c r="K67" s="92"/>
      <c r="L67" s="106" t="s">
        <v>72</v>
      </c>
      <c r="M67" s="349"/>
      <c r="N67" s="90" t="s">
        <v>1051</v>
      </c>
      <c r="O67" s="702" t="s">
        <v>1052</v>
      </c>
      <c r="P67" s="480"/>
    </row>
    <row r="68" spans="1:16" s="5" customFormat="1" ht="90">
      <c r="A68" s="588">
        <v>62</v>
      </c>
      <c r="B68" s="351" t="s">
        <v>75</v>
      </c>
      <c r="C68" s="702" t="s">
        <v>1053</v>
      </c>
      <c r="D68" s="440" t="s">
        <v>1048</v>
      </c>
      <c r="E68" s="481" t="s">
        <v>1054</v>
      </c>
      <c r="F68" s="30">
        <v>478000</v>
      </c>
      <c r="G68" s="704" t="s">
        <v>23</v>
      </c>
      <c r="H68" s="704" t="s">
        <v>69</v>
      </c>
      <c r="I68" s="704">
        <v>1399</v>
      </c>
      <c r="J68" s="704" t="s">
        <v>25</v>
      </c>
      <c r="K68" s="106">
        <v>1</v>
      </c>
      <c r="L68" s="480"/>
      <c r="M68" s="349" t="s">
        <v>71</v>
      </c>
      <c r="N68" s="480"/>
      <c r="O68" s="480"/>
      <c r="P68" s="480"/>
    </row>
    <row r="69" spans="1:16" s="5" customFormat="1" ht="90">
      <c r="A69" s="588">
        <v>63</v>
      </c>
      <c r="B69" s="351" t="s">
        <v>75</v>
      </c>
      <c r="C69" s="702" t="s">
        <v>1055</v>
      </c>
      <c r="D69" s="440" t="s">
        <v>1048</v>
      </c>
      <c r="E69" s="481" t="s">
        <v>1056</v>
      </c>
      <c r="F69" s="30">
        <v>1560000</v>
      </c>
      <c r="G69" s="704" t="s">
        <v>23</v>
      </c>
      <c r="H69" s="704" t="s">
        <v>69</v>
      </c>
      <c r="I69" s="704">
        <v>1399</v>
      </c>
      <c r="J69" s="704" t="s">
        <v>25</v>
      </c>
      <c r="K69" s="106">
        <v>0.3</v>
      </c>
      <c r="L69" s="480"/>
      <c r="M69" s="349" t="s">
        <v>70</v>
      </c>
      <c r="N69" s="480"/>
      <c r="O69" s="480" t="s">
        <v>1875</v>
      </c>
      <c r="P69" s="480"/>
    </row>
    <row r="70" spans="1:16" s="5" customFormat="1" ht="90">
      <c r="A70" s="588">
        <v>64</v>
      </c>
      <c r="B70" s="351" t="s">
        <v>75</v>
      </c>
      <c r="C70" s="702" t="s">
        <v>1055</v>
      </c>
      <c r="D70" s="440" t="s">
        <v>1048</v>
      </c>
      <c r="E70" s="481" t="s">
        <v>1057</v>
      </c>
      <c r="F70" s="30">
        <v>12000000</v>
      </c>
      <c r="G70" s="704" t="s">
        <v>23</v>
      </c>
      <c r="H70" s="704" t="s">
        <v>69</v>
      </c>
      <c r="I70" s="704">
        <v>1399</v>
      </c>
      <c r="J70" s="704" t="s">
        <v>25</v>
      </c>
      <c r="K70" s="106">
        <v>0.1</v>
      </c>
      <c r="L70" s="480"/>
      <c r="M70" s="349" t="s">
        <v>70</v>
      </c>
      <c r="N70" s="480"/>
      <c r="O70" s="480" t="s">
        <v>1875</v>
      </c>
      <c r="P70" s="480"/>
    </row>
    <row r="71" spans="1:16" s="5" customFormat="1" ht="90">
      <c r="A71" s="588">
        <v>65</v>
      </c>
      <c r="B71" s="351" t="s">
        <v>75</v>
      </c>
      <c r="C71" s="702" t="s">
        <v>1053</v>
      </c>
      <c r="D71" s="440" t="s">
        <v>1048</v>
      </c>
      <c r="E71" s="481" t="s">
        <v>1058</v>
      </c>
      <c r="F71" s="30">
        <v>10000000</v>
      </c>
      <c r="G71" s="704" t="s">
        <v>23</v>
      </c>
      <c r="H71" s="704" t="s">
        <v>69</v>
      </c>
      <c r="I71" s="704">
        <v>1399</v>
      </c>
      <c r="J71" s="704" t="s">
        <v>25</v>
      </c>
      <c r="K71" s="106">
        <v>1</v>
      </c>
      <c r="L71" s="480"/>
      <c r="M71" s="349" t="s">
        <v>71</v>
      </c>
      <c r="N71" s="480"/>
      <c r="O71" s="480"/>
      <c r="P71" s="480"/>
    </row>
    <row r="72" spans="1:16" s="5" customFormat="1" ht="90">
      <c r="A72" s="588">
        <v>66</v>
      </c>
      <c r="B72" s="351" t="s">
        <v>75</v>
      </c>
      <c r="C72" s="702" t="s">
        <v>1059</v>
      </c>
      <c r="D72" s="440" t="s">
        <v>1048</v>
      </c>
      <c r="E72" s="481" t="s">
        <v>1060</v>
      </c>
      <c r="F72" s="30">
        <v>1300000</v>
      </c>
      <c r="G72" s="704" t="s">
        <v>23</v>
      </c>
      <c r="H72" s="704" t="s">
        <v>69</v>
      </c>
      <c r="I72" s="704">
        <v>1399</v>
      </c>
      <c r="J72" s="704" t="s">
        <v>25</v>
      </c>
      <c r="K72" s="106">
        <v>1</v>
      </c>
      <c r="L72" s="480"/>
      <c r="M72" s="349" t="s">
        <v>71</v>
      </c>
      <c r="N72" s="480"/>
      <c r="O72" s="480"/>
      <c r="P72" s="480"/>
    </row>
    <row r="73" spans="1:16" s="5" customFormat="1" ht="90">
      <c r="A73" s="588">
        <v>67</v>
      </c>
      <c r="B73" s="351" t="s">
        <v>75</v>
      </c>
      <c r="C73" s="702" t="s">
        <v>1059</v>
      </c>
      <c r="D73" s="440" t="s">
        <v>1048</v>
      </c>
      <c r="E73" s="481" t="s">
        <v>1061</v>
      </c>
      <c r="F73" s="30">
        <v>20000000</v>
      </c>
      <c r="G73" s="704" t="s">
        <v>23</v>
      </c>
      <c r="H73" s="704" t="s">
        <v>69</v>
      </c>
      <c r="I73" s="704">
        <v>1399</v>
      </c>
      <c r="J73" s="704" t="s">
        <v>25</v>
      </c>
      <c r="K73" s="106">
        <v>0.05</v>
      </c>
      <c r="L73" s="480"/>
      <c r="M73" s="349" t="s">
        <v>70</v>
      </c>
      <c r="N73" s="480"/>
      <c r="O73" s="480"/>
      <c r="P73" s="480"/>
    </row>
    <row r="74" spans="1:16" s="34" customFormat="1" ht="93.75" customHeight="1">
      <c r="A74" s="588">
        <v>68</v>
      </c>
      <c r="B74" s="351" t="s">
        <v>75</v>
      </c>
      <c r="C74" s="351"/>
      <c r="D74" s="440" t="s">
        <v>242</v>
      </c>
      <c r="E74" s="40" t="s">
        <v>1062</v>
      </c>
      <c r="F74" s="30">
        <v>448800</v>
      </c>
      <c r="G74" s="467" t="s">
        <v>23</v>
      </c>
      <c r="H74" s="467" t="s">
        <v>77</v>
      </c>
      <c r="I74" s="467">
        <v>1399</v>
      </c>
      <c r="J74" s="467" t="s">
        <v>25</v>
      </c>
      <c r="K74" s="109">
        <v>1</v>
      </c>
      <c r="L74" s="478"/>
      <c r="M74" s="349" t="s">
        <v>33</v>
      </c>
      <c r="N74" s="478"/>
      <c r="O74" s="478"/>
      <c r="P74" s="440"/>
    </row>
    <row r="75" spans="1:16" s="34" customFormat="1" ht="103.15" customHeight="1">
      <c r="A75" s="588">
        <v>69</v>
      </c>
      <c r="B75" s="351" t="s">
        <v>75</v>
      </c>
      <c r="C75" s="351" t="s">
        <v>1063</v>
      </c>
      <c r="D75" s="440" t="s">
        <v>111</v>
      </c>
      <c r="E75" s="40" t="s">
        <v>1064</v>
      </c>
      <c r="F75" s="30">
        <v>415000</v>
      </c>
      <c r="G75" s="467" t="s">
        <v>23</v>
      </c>
      <c r="H75" s="467" t="s">
        <v>77</v>
      </c>
      <c r="I75" s="467">
        <v>1399</v>
      </c>
      <c r="J75" s="467" t="s">
        <v>25</v>
      </c>
      <c r="K75" s="109">
        <v>1</v>
      </c>
      <c r="L75" s="478"/>
      <c r="M75" s="349" t="s">
        <v>33</v>
      </c>
      <c r="N75" s="478"/>
      <c r="O75" s="478"/>
      <c r="P75" s="440"/>
    </row>
    <row r="76" spans="1:16" s="34" customFormat="1" ht="70.150000000000006" customHeight="1">
      <c r="A76" s="588">
        <v>70</v>
      </c>
      <c r="B76" s="351" t="s">
        <v>75</v>
      </c>
      <c r="C76" s="351" t="s">
        <v>1004</v>
      </c>
      <c r="D76" s="440" t="s">
        <v>111</v>
      </c>
      <c r="E76" s="40" t="s">
        <v>266</v>
      </c>
      <c r="F76" s="30">
        <v>160000</v>
      </c>
      <c r="G76" s="467" t="s">
        <v>23</v>
      </c>
      <c r="H76" s="467" t="s">
        <v>77</v>
      </c>
      <c r="I76" s="467">
        <v>1399</v>
      </c>
      <c r="J76" s="467" t="s">
        <v>25</v>
      </c>
      <c r="K76" s="109">
        <v>1</v>
      </c>
      <c r="L76" s="478"/>
      <c r="M76" s="349" t="s">
        <v>33</v>
      </c>
      <c r="N76" s="478"/>
      <c r="O76" s="478"/>
      <c r="P76" s="440"/>
    </row>
    <row r="77" spans="1:16" s="559" customFormat="1" ht="61.5" customHeight="1">
      <c r="A77" s="588">
        <v>71</v>
      </c>
      <c r="B77" s="354" t="s">
        <v>75</v>
      </c>
      <c r="C77" s="354"/>
      <c r="D77" s="182" t="s">
        <v>73</v>
      </c>
      <c r="E77" s="237" t="s">
        <v>74</v>
      </c>
      <c r="F77" s="569">
        <v>242027.23199999999</v>
      </c>
      <c r="G77" s="561" t="s">
        <v>23</v>
      </c>
      <c r="H77" s="561" t="s">
        <v>77</v>
      </c>
      <c r="I77" s="561">
        <v>1399</v>
      </c>
      <c r="J77" s="561" t="s">
        <v>25</v>
      </c>
      <c r="K77" s="265"/>
      <c r="L77" s="561" t="s">
        <v>72</v>
      </c>
      <c r="M77" s="40"/>
      <c r="N77" s="623" t="s">
        <v>581</v>
      </c>
      <c r="O77" s="236" t="s">
        <v>1833</v>
      </c>
      <c r="P77" s="560"/>
    </row>
    <row r="78" spans="1:16" s="559" customFormat="1" ht="61.5" customHeight="1">
      <c r="A78" s="588">
        <v>72</v>
      </c>
      <c r="B78" s="354" t="s">
        <v>75</v>
      </c>
      <c r="C78" s="354"/>
      <c r="D78" s="182" t="s">
        <v>73</v>
      </c>
      <c r="E78" s="237" t="s">
        <v>97</v>
      </c>
      <c r="F78" s="30">
        <v>1282840</v>
      </c>
      <c r="G78" s="561" t="s">
        <v>23</v>
      </c>
      <c r="H78" s="561" t="s">
        <v>77</v>
      </c>
      <c r="I78" s="561">
        <v>1399</v>
      </c>
      <c r="J78" s="561" t="s">
        <v>25</v>
      </c>
      <c r="K78" s="265"/>
      <c r="L78" s="561" t="s">
        <v>72</v>
      </c>
      <c r="M78" s="40"/>
      <c r="N78" s="623" t="s">
        <v>581</v>
      </c>
      <c r="O78" s="236" t="s">
        <v>1833</v>
      </c>
      <c r="P78" s="560"/>
    </row>
  </sheetData>
  <autoFilter ref="D1:D65"/>
  <mergeCells count="14">
    <mergeCell ref="P5:P6"/>
    <mergeCell ref="A1:P4"/>
    <mergeCell ref="A5:A6"/>
    <mergeCell ref="B5:B6"/>
    <mergeCell ref="C5:C6"/>
    <mergeCell ref="D5:D6"/>
    <mergeCell ref="E5:E6"/>
    <mergeCell ref="O5:O6"/>
    <mergeCell ref="F5:H5"/>
    <mergeCell ref="I5:I6"/>
    <mergeCell ref="J5:J6"/>
    <mergeCell ref="K5:K6"/>
    <mergeCell ref="L5:M5"/>
    <mergeCell ref="N5:N6"/>
  </mergeCells>
  <printOptions horizontalCentered="1"/>
  <pageMargins left="0.2" right="0.2" top="0.5" bottom="0.5" header="0.3" footer="0.3"/>
  <pageSetup paperSize="9" scale="59"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sheetPr>
    <tabColor rgb="FF92D050"/>
  </sheetPr>
  <dimension ref="A1:P76"/>
  <sheetViews>
    <sheetView rightToLeft="1" view="pageBreakPreview" zoomScale="85" zoomScaleSheetLayoutView="85" workbookViewId="0">
      <pane ySplit="6" topLeftCell="A72" activePane="bottomLeft" state="frozen"/>
      <selection pane="bottomLeft" activeCell="K77" sqref="K77"/>
    </sheetView>
  </sheetViews>
  <sheetFormatPr defaultColWidth="9.140625" defaultRowHeight="15"/>
  <cols>
    <col min="1" max="1" width="7.5703125" style="1" customWidth="1"/>
    <col min="2" max="2" width="17.42578125" style="3" customWidth="1"/>
    <col min="3" max="3" width="15" style="3" customWidth="1"/>
    <col min="4" max="4" width="14.42578125" style="10" customWidth="1"/>
    <col min="5" max="5" width="27.28515625" style="10" customWidth="1"/>
    <col min="6" max="6" width="15.140625" style="2" customWidth="1"/>
    <col min="7" max="7" width="10.85546875" style="2" customWidth="1"/>
    <col min="8" max="8" width="11.7109375" style="2" customWidth="1"/>
    <col min="9" max="9" width="10.85546875" style="1" customWidth="1"/>
    <col min="10" max="10" width="11" style="9" customWidth="1"/>
    <col min="11" max="11" width="9.42578125" style="14" customWidth="1"/>
    <col min="12" max="12" width="9.140625" style="4" customWidth="1"/>
    <col min="13" max="13" width="12.140625" style="15" customWidth="1"/>
    <col min="14" max="14" width="17.28515625" style="11" customWidth="1"/>
    <col min="15" max="15" width="16.28515625" style="11" customWidth="1"/>
    <col min="16" max="16" width="14" style="4" customWidth="1"/>
    <col min="17" max="16384" width="9.140625" style="4"/>
  </cols>
  <sheetData>
    <row r="1" spans="1:16" ht="18" customHeight="1">
      <c r="A1" s="788" t="s">
        <v>1882</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1" customHeight="1">
      <c r="A5" s="791" t="s">
        <v>0</v>
      </c>
      <c r="B5" s="791" t="s">
        <v>14</v>
      </c>
      <c r="C5" s="791" t="s">
        <v>18</v>
      </c>
      <c r="D5" s="791" t="s">
        <v>1</v>
      </c>
      <c r="E5" s="791" t="s">
        <v>15</v>
      </c>
      <c r="F5" s="791" t="s">
        <v>9</v>
      </c>
      <c r="G5" s="791"/>
      <c r="H5" s="791"/>
      <c r="I5" s="791" t="s">
        <v>7</v>
      </c>
      <c r="J5" s="791" t="s">
        <v>6</v>
      </c>
      <c r="K5" s="833" t="s">
        <v>16</v>
      </c>
      <c r="L5" s="791" t="s">
        <v>2</v>
      </c>
      <c r="M5" s="791"/>
      <c r="N5" s="791" t="s">
        <v>5</v>
      </c>
      <c r="O5" s="791" t="s">
        <v>13</v>
      </c>
      <c r="P5" s="791" t="s">
        <v>8</v>
      </c>
    </row>
    <row r="6" spans="1:16" ht="52.9" customHeight="1">
      <c r="A6" s="791"/>
      <c r="B6" s="791"/>
      <c r="C6" s="791"/>
      <c r="D6" s="791"/>
      <c r="E6" s="791"/>
      <c r="F6" s="69" t="s">
        <v>10</v>
      </c>
      <c r="G6" s="69" t="s">
        <v>11</v>
      </c>
      <c r="H6" s="69" t="s">
        <v>12</v>
      </c>
      <c r="I6" s="791"/>
      <c r="J6" s="791"/>
      <c r="K6" s="833"/>
      <c r="L6" s="69" t="s">
        <v>3</v>
      </c>
      <c r="M6" s="69" t="s">
        <v>4</v>
      </c>
      <c r="N6" s="791"/>
      <c r="O6" s="791"/>
      <c r="P6" s="791"/>
    </row>
    <row r="7" spans="1:16" s="5" customFormat="1" ht="72">
      <c r="A7" s="583">
        <v>1</v>
      </c>
      <c r="B7" s="354" t="s">
        <v>272</v>
      </c>
      <c r="C7" s="578"/>
      <c r="D7" s="40" t="s">
        <v>1527</v>
      </c>
      <c r="E7" s="40" t="s">
        <v>1547</v>
      </c>
      <c r="F7" s="37">
        <v>50000</v>
      </c>
      <c r="G7" s="583" t="s">
        <v>23</v>
      </c>
      <c r="H7" s="583" t="s">
        <v>77</v>
      </c>
      <c r="I7" s="583">
        <v>1399</v>
      </c>
      <c r="J7" s="22" t="s">
        <v>25</v>
      </c>
      <c r="K7" s="24">
        <v>1</v>
      </c>
      <c r="L7" s="578"/>
      <c r="M7" s="90" t="s">
        <v>33</v>
      </c>
      <c r="N7" s="32"/>
      <c r="O7" s="32"/>
      <c r="P7" s="578"/>
    </row>
    <row r="8" spans="1:16" s="5" customFormat="1" ht="72">
      <c r="A8" s="583">
        <v>2</v>
      </c>
      <c r="B8" s="354" t="s">
        <v>272</v>
      </c>
      <c r="C8" s="578"/>
      <c r="D8" s="40" t="s">
        <v>1527</v>
      </c>
      <c r="E8" s="40" t="s">
        <v>1548</v>
      </c>
      <c r="F8" s="37">
        <v>40000</v>
      </c>
      <c r="G8" s="583" t="s">
        <v>23</v>
      </c>
      <c r="H8" s="583" t="s">
        <v>77</v>
      </c>
      <c r="I8" s="583">
        <v>1399</v>
      </c>
      <c r="J8" s="22" t="s">
        <v>25</v>
      </c>
      <c r="K8" s="24">
        <v>1</v>
      </c>
      <c r="L8" s="578"/>
      <c r="M8" s="90" t="s">
        <v>33</v>
      </c>
      <c r="N8" s="32"/>
      <c r="O8" s="32"/>
      <c r="P8" s="578"/>
    </row>
    <row r="9" spans="1:16" s="5" customFormat="1" ht="72">
      <c r="A9" s="588">
        <v>3</v>
      </c>
      <c r="B9" s="354" t="s">
        <v>272</v>
      </c>
      <c r="C9" s="578"/>
      <c r="D9" s="40" t="s">
        <v>1527</v>
      </c>
      <c r="E9" s="40" t="s">
        <v>1549</v>
      </c>
      <c r="F9" s="37">
        <v>315000</v>
      </c>
      <c r="G9" s="583" t="s">
        <v>23</v>
      </c>
      <c r="H9" s="583" t="s">
        <v>77</v>
      </c>
      <c r="I9" s="583">
        <v>1399</v>
      </c>
      <c r="J9" s="22" t="s">
        <v>25</v>
      </c>
      <c r="K9" s="24">
        <v>1</v>
      </c>
      <c r="L9" s="578"/>
      <c r="M9" s="90" t="s">
        <v>33</v>
      </c>
      <c r="N9" s="32"/>
      <c r="O9" s="32"/>
      <c r="P9" s="578"/>
    </row>
    <row r="10" spans="1:16" s="5" customFormat="1" ht="72">
      <c r="A10" s="588">
        <v>4</v>
      </c>
      <c r="B10" s="354" t="s">
        <v>272</v>
      </c>
      <c r="C10" s="578"/>
      <c r="D10" s="40" t="s">
        <v>1527</v>
      </c>
      <c r="E10" s="40" t="s">
        <v>1550</v>
      </c>
      <c r="F10" s="37">
        <v>250000</v>
      </c>
      <c r="G10" s="583" t="s">
        <v>23</v>
      </c>
      <c r="H10" s="583" t="s">
        <v>77</v>
      </c>
      <c r="I10" s="583">
        <v>1399</v>
      </c>
      <c r="J10" s="22" t="s">
        <v>25</v>
      </c>
      <c r="K10" s="24">
        <v>1</v>
      </c>
      <c r="L10" s="578"/>
      <c r="M10" s="90" t="s">
        <v>33</v>
      </c>
      <c r="N10" s="32"/>
      <c r="O10" s="32"/>
      <c r="P10" s="578"/>
    </row>
    <row r="11" spans="1:16" s="5" customFormat="1" ht="72">
      <c r="A11" s="588">
        <v>5</v>
      </c>
      <c r="B11" s="354" t="s">
        <v>272</v>
      </c>
      <c r="C11" s="578"/>
      <c r="D11" s="40" t="s">
        <v>1527</v>
      </c>
      <c r="E11" s="40" t="s">
        <v>1551</v>
      </c>
      <c r="F11" s="37">
        <v>1250000</v>
      </c>
      <c r="G11" s="583" t="s">
        <v>23</v>
      </c>
      <c r="H11" s="583" t="s">
        <v>77</v>
      </c>
      <c r="I11" s="583">
        <v>1399</v>
      </c>
      <c r="J11" s="22" t="s">
        <v>25</v>
      </c>
      <c r="K11" s="24">
        <v>1</v>
      </c>
      <c r="L11" s="578"/>
      <c r="M11" s="90" t="s">
        <v>33</v>
      </c>
      <c r="N11" s="32"/>
      <c r="O11" s="32"/>
      <c r="P11" s="578"/>
    </row>
    <row r="12" spans="1:16" s="5" customFormat="1" ht="72">
      <c r="A12" s="588">
        <v>6</v>
      </c>
      <c r="B12" s="354" t="s">
        <v>272</v>
      </c>
      <c r="C12" s="578"/>
      <c r="D12" s="40" t="s">
        <v>1527</v>
      </c>
      <c r="E12" s="40" t="s">
        <v>1552</v>
      </c>
      <c r="F12" s="37">
        <v>1250000</v>
      </c>
      <c r="G12" s="583" t="s">
        <v>23</v>
      </c>
      <c r="H12" s="583" t="s">
        <v>77</v>
      </c>
      <c r="I12" s="583">
        <v>1399</v>
      </c>
      <c r="J12" s="22" t="s">
        <v>25</v>
      </c>
      <c r="K12" s="24">
        <v>1</v>
      </c>
      <c r="L12" s="578"/>
      <c r="M12" s="90" t="s">
        <v>33</v>
      </c>
      <c r="N12" s="32"/>
      <c r="O12" s="32"/>
      <c r="P12" s="578"/>
    </row>
    <row r="13" spans="1:16" s="5" customFormat="1" ht="72">
      <c r="A13" s="588">
        <v>7</v>
      </c>
      <c r="B13" s="354" t="s">
        <v>272</v>
      </c>
      <c r="C13" s="578"/>
      <c r="D13" s="40" t="s">
        <v>1527</v>
      </c>
      <c r="E13" s="40" t="s">
        <v>1553</v>
      </c>
      <c r="F13" s="37">
        <v>2400000</v>
      </c>
      <c r="G13" s="583" t="s">
        <v>23</v>
      </c>
      <c r="H13" s="583" t="s">
        <v>77</v>
      </c>
      <c r="I13" s="583">
        <v>1399</v>
      </c>
      <c r="J13" s="22" t="s">
        <v>25</v>
      </c>
      <c r="K13" s="24">
        <v>1</v>
      </c>
      <c r="L13" s="578"/>
      <c r="M13" s="90" t="s">
        <v>33</v>
      </c>
      <c r="N13" s="32"/>
      <c r="O13" s="32"/>
      <c r="P13" s="578"/>
    </row>
    <row r="14" spans="1:16" s="5" customFormat="1" ht="72">
      <c r="A14" s="588">
        <v>8</v>
      </c>
      <c r="B14" s="354" t="s">
        <v>272</v>
      </c>
      <c r="C14" s="578"/>
      <c r="D14" s="40" t="s">
        <v>1527</v>
      </c>
      <c r="E14" s="40" t="s">
        <v>1554</v>
      </c>
      <c r="F14" s="37">
        <v>3000000</v>
      </c>
      <c r="G14" s="583" t="s">
        <v>23</v>
      </c>
      <c r="H14" s="583" t="s">
        <v>77</v>
      </c>
      <c r="I14" s="583">
        <v>1399</v>
      </c>
      <c r="J14" s="22" t="s">
        <v>25</v>
      </c>
      <c r="K14" s="24">
        <v>1</v>
      </c>
      <c r="L14" s="578"/>
      <c r="M14" s="90" t="s">
        <v>33</v>
      </c>
      <c r="N14" s="32"/>
      <c r="O14" s="32"/>
      <c r="P14" s="578"/>
    </row>
    <row r="15" spans="1:16" s="5" customFormat="1" ht="72">
      <c r="A15" s="588">
        <v>9</v>
      </c>
      <c r="B15" s="354" t="s">
        <v>272</v>
      </c>
      <c r="C15" s="578"/>
      <c r="D15" s="40" t="s">
        <v>1527</v>
      </c>
      <c r="E15" s="40" t="s">
        <v>1555</v>
      </c>
      <c r="F15" s="37">
        <v>200000</v>
      </c>
      <c r="G15" s="583" t="s">
        <v>23</v>
      </c>
      <c r="H15" s="583" t="s">
        <v>77</v>
      </c>
      <c r="I15" s="583">
        <v>1399</v>
      </c>
      <c r="J15" s="22" t="s">
        <v>25</v>
      </c>
      <c r="K15" s="24">
        <v>1</v>
      </c>
      <c r="L15" s="578"/>
      <c r="M15" s="90" t="s">
        <v>33</v>
      </c>
      <c r="N15" s="32"/>
      <c r="O15" s="32"/>
      <c r="P15" s="578"/>
    </row>
    <row r="16" spans="1:16" s="5" customFormat="1" ht="72">
      <c r="A16" s="588">
        <v>10</v>
      </c>
      <c r="B16" s="354" t="s">
        <v>272</v>
      </c>
      <c r="C16" s="578"/>
      <c r="D16" s="40" t="s">
        <v>1527</v>
      </c>
      <c r="E16" s="40" t="s">
        <v>1556</v>
      </c>
      <c r="F16" s="37">
        <v>60000</v>
      </c>
      <c r="G16" s="583" t="s">
        <v>23</v>
      </c>
      <c r="H16" s="583" t="s">
        <v>77</v>
      </c>
      <c r="I16" s="583">
        <v>1399</v>
      </c>
      <c r="J16" s="22" t="s">
        <v>25</v>
      </c>
      <c r="K16" s="24">
        <v>1</v>
      </c>
      <c r="L16" s="578"/>
      <c r="M16" s="90" t="s">
        <v>33</v>
      </c>
      <c r="N16" s="32"/>
      <c r="O16" s="32"/>
      <c r="P16" s="578"/>
    </row>
    <row r="17" spans="1:16" s="5" customFormat="1" ht="72">
      <c r="A17" s="588">
        <v>11</v>
      </c>
      <c r="B17" s="354" t="s">
        <v>272</v>
      </c>
      <c r="C17" s="578"/>
      <c r="D17" s="40" t="s">
        <v>320</v>
      </c>
      <c r="E17" s="593" t="s">
        <v>1557</v>
      </c>
      <c r="F17" s="37">
        <v>208000</v>
      </c>
      <c r="G17" s="583" t="s">
        <v>23</v>
      </c>
      <c r="H17" s="583" t="s">
        <v>77</v>
      </c>
      <c r="I17" s="583">
        <v>1399</v>
      </c>
      <c r="J17" s="22" t="s">
        <v>25</v>
      </c>
      <c r="K17" s="24">
        <v>1</v>
      </c>
      <c r="L17" s="578"/>
      <c r="M17" s="90" t="s">
        <v>33</v>
      </c>
      <c r="N17" s="32"/>
      <c r="O17" s="32"/>
      <c r="P17" s="578"/>
    </row>
    <row r="18" spans="1:16" s="5" customFormat="1" ht="54">
      <c r="A18" s="588">
        <v>12</v>
      </c>
      <c r="B18" s="354" t="s">
        <v>272</v>
      </c>
      <c r="C18" s="578"/>
      <c r="D18" s="40" t="s">
        <v>320</v>
      </c>
      <c r="E18" s="593" t="s">
        <v>1558</v>
      </c>
      <c r="F18" s="37">
        <v>160000</v>
      </c>
      <c r="G18" s="583" t="s">
        <v>23</v>
      </c>
      <c r="H18" s="583" t="s">
        <v>77</v>
      </c>
      <c r="I18" s="583">
        <v>1399</v>
      </c>
      <c r="J18" s="22" t="s">
        <v>25</v>
      </c>
      <c r="K18" s="24">
        <v>1</v>
      </c>
      <c r="L18" s="578"/>
      <c r="M18" s="90" t="s">
        <v>33</v>
      </c>
      <c r="N18" s="32"/>
      <c r="O18" s="32"/>
      <c r="P18" s="578"/>
    </row>
    <row r="19" spans="1:16" s="5" customFormat="1" ht="54">
      <c r="A19" s="588">
        <v>13</v>
      </c>
      <c r="B19" s="354" t="s">
        <v>272</v>
      </c>
      <c r="C19" s="578"/>
      <c r="D19" s="40" t="s">
        <v>320</v>
      </c>
      <c r="E19" s="593" t="s">
        <v>1559</v>
      </c>
      <c r="F19" s="37">
        <v>36000</v>
      </c>
      <c r="G19" s="583" t="s">
        <v>23</v>
      </c>
      <c r="H19" s="583" t="s">
        <v>77</v>
      </c>
      <c r="I19" s="583">
        <v>1399</v>
      </c>
      <c r="J19" s="22" t="s">
        <v>25</v>
      </c>
      <c r="K19" s="106">
        <v>1</v>
      </c>
      <c r="L19" s="578"/>
      <c r="M19" s="90" t="s">
        <v>33</v>
      </c>
      <c r="N19" s="32"/>
      <c r="O19" s="32"/>
      <c r="P19" s="578"/>
    </row>
    <row r="20" spans="1:16" s="5" customFormat="1" ht="72">
      <c r="A20" s="588">
        <v>14</v>
      </c>
      <c r="B20" s="354" t="s">
        <v>272</v>
      </c>
      <c r="C20" s="578"/>
      <c r="D20" s="40" t="s">
        <v>320</v>
      </c>
      <c r="E20" s="593" t="s">
        <v>1560</v>
      </c>
      <c r="F20" s="37">
        <v>3200000</v>
      </c>
      <c r="G20" s="583" t="s">
        <v>23</v>
      </c>
      <c r="H20" s="583" t="s">
        <v>77</v>
      </c>
      <c r="I20" s="583">
        <v>1399</v>
      </c>
      <c r="J20" s="22" t="s">
        <v>25</v>
      </c>
      <c r="K20" s="106">
        <v>1</v>
      </c>
      <c r="L20" s="578"/>
      <c r="M20" s="90" t="s">
        <v>33</v>
      </c>
      <c r="N20" s="32"/>
      <c r="O20" s="32"/>
      <c r="P20" s="578"/>
    </row>
    <row r="21" spans="1:16" s="5" customFormat="1" ht="90">
      <c r="A21" s="588">
        <v>15</v>
      </c>
      <c r="B21" s="354" t="s">
        <v>272</v>
      </c>
      <c r="C21" s="578"/>
      <c r="D21" s="40" t="s">
        <v>320</v>
      </c>
      <c r="E21" s="593" t="s">
        <v>1561</v>
      </c>
      <c r="F21" s="37">
        <v>60000</v>
      </c>
      <c r="G21" s="583" t="s">
        <v>23</v>
      </c>
      <c r="H21" s="583" t="s">
        <v>77</v>
      </c>
      <c r="I21" s="583">
        <v>1399</v>
      </c>
      <c r="J21" s="22" t="s">
        <v>25</v>
      </c>
      <c r="K21" s="106">
        <v>1</v>
      </c>
      <c r="L21" s="578"/>
      <c r="M21" s="90" t="s">
        <v>33</v>
      </c>
      <c r="N21" s="32"/>
      <c r="O21" s="32"/>
      <c r="P21" s="578"/>
    </row>
    <row r="22" spans="1:16" s="5" customFormat="1" ht="54">
      <c r="A22" s="588">
        <v>16</v>
      </c>
      <c r="B22" s="354" t="s">
        <v>272</v>
      </c>
      <c r="C22" s="578" t="s">
        <v>1513</v>
      </c>
      <c r="D22" s="40" t="s">
        <v>320</v>
      </c>
      <c r="E22" s="40" t="s">
        <v>1562</v>
      </c>
      <c r="F22" s="37">
        <v>283667</v>
      </c>
      <c r="G22" s="583" t="s">
        <v>23</v>
      </c>
      <c r="H22" s="583" t="s">
        <v>77</v>
      </c>
      <c r="I22" s="583">
        <v>1399</v>
      </c>
      <c r="J22" s="22" t="s">
        <v>25</v>
      </c>
      <c r="K22" s="106">
        <v>1</v>
      </c>
      <c r="L22" s="578"/>
      <c r="M22" s="90" t="s">
        <v>33</v>
      </c>
      <c r="N22" s="32"/>
      <c r="O22" s="32"/>
      <c r="P22" s="578"/>
    </row>
    <row r="23" spans="1:16" s="5" customFormat="1" ht="54">
      <c r="A23" s="588">
        <v>17</v>
      </c>
      <c r="B23" s="354" t="s">
        <v>272</v>
      </c>
      <c r="C23" s="578" t="s">
        <v>1563</v>
      </c>
      <c r="D23" s="40" t="s">
        <v>320</v>
      </c>
      <c r="E23" s="40" t="s">
        <v>1564</v>
      </c>
      <c r="F23" s="37">
        <v>982400</v>
      </c>
      <c r="G23" s="583" t="s">
        <v>23</v>
      </c>
      <c r="H23" s="583" t="s">
        <v>77</v>
      </c>
      <c r="I23" s="583">
        <v>1399</v>
      </c>
      <c r="J23" s="22" t="s">
        <v>25</v>
      </c>
      <c r="K23" s="106">
        <v>1</v>
      </c>
      <c r="L23" s="578"/>
      <c r="M23" s="90" t="s">
        <v>33</v>
      </c>
      <c r="N23" s="32"/>
      <c r="O23" s="32"/>
      <c r="P23" s="578"/>
    </row>
    <row r="24" spans="1:16" s="5" customFormat="1" ht="74.45" customHeight="1">
      <c r="A24" s="588">
        <v>18</v>
      </c>
      <c r="B24" s="354" t="s">
        <v>272</v>
      </c>
      <c r="C24" s="578" t="s">
        <v>1565</v>
      </c>
      <c r="D24" s="40" t="s">
        <v>320</v>
      </c>
      <c r="E24" s="40" t="s">
        <v>321</v>
      </c>
      <c r="F24" s="37">
        <v>123000</v>
      </c>
      <c r="G24" s="583" t="s">
        <v>23</v>
      </c>
      <c r="H24" s="583" t="s">
        <v>77</v>
      </c>
      <c r="I24" s="583">
        <v>1399</v>
      </c>
      <c r="J24" s="22" t="s">
        <v>25</v>
      </c>
      <c r="K24" s="106">
        <v>1</v>
      </c>
      <c r="L24" s="578"/>
      <c r="M24" s="90" t="s">
        <v>33</v>
      </c>
      <c r="N24" s="32"/>
      <c r="O24" s="32"/>
      <c r="P24" s="578"/>
    </row>
    <row r="25" spans="1:16" s="5" customFormat="1" ht="90">
      <c r="A25" s="588">
        <v>19</v>
      </c>
      <c r="B25" s="354" t="s">
        <v>272</v>
      </c>
      <c r="C25" s="578" t="s">
        <v>1565</v>
      </c>
      <c r="D25" s="40" t="s">
        <v>320</v>
      </c>
      <c r="E25" s="40" t="s">
        <v>1529</v>
      </c>
      <c r="F25" s="37">
        <v>412000</v>
      </c>
      <c r="G25" s="583" t="s">
        <v>23</v>
      </c>
      <c r="H25" s="583" t="s">
        <v>77</v>
      </c>
      <c r="I25" s="583">
        <v>1399</v>
      </c>
      <c r="J25" s="22" t="s">
        <v>25</v>
      </c>
      <c r="K25" s="106">
        <v>1</v>
      </c>
      <c r="L25" s="578"/>
      <c r="M25" s="90" t="s">
        <v>33</v>
      </c>
      <c r="N25" s="32"/>
      <c r="O25" s="32"/>
      <c r="P25" s="578"/>
    </row>
    <row r="26" spans="1:16" s="5" customFormat="1" ht="90">
      <c r="A26" s="588">
        <v>20</v>
      </c>
      <c r="B26" s="354" t="s">
        <v>272</v>
      </c>
      <c r="C26" s="578" t="s">
        <v>1565</v>
      </c>
      <c r="D26" s="40" t="s">
        <v>320</v>
      </c>
      <c r="E26" s="40" t="s">
        <v>1530</v>
      </c>
      <c r="F26" s="37">
        <v>2236000</v>
      </c>
      <c r="G26" s="583" t="s">
        <v>23</v>
      </c>
      <c r="H26" s="583" t="s">
        <v>77</v>
      </c>
      <c r="I26" s="583">
        <v>1399</v>
      </c>
      <c r="J26" s="22" t="s">
        <v>25</v>
      </c>
      <c r="K26" s="106">
        <v>1</v>
      </c>
      <c r="L26" s="578"/>
      <c r="M26" s="90" t="s">
        <v>33</v>
      </c>
      <c r="N26" s="32"/>
      <c r="O26" s="32"/>
      <c r="P26" s="578"/>
    </row>
    <row r="27" spans="1:16" s="5" customFormat="1" ht="72">
      <c r="A27" s="588">
        <v>21</v>
      </c>
      <c r="B27" s="354" t="s">
        <v>272</v>
      </c>
      <c r="C27" s="578" t="s">
        <v>1565</v>
      </c>
      <c r="D27" s="40" t="s">
        <v>320</v>
      </c>
      <c r="E27" s="40" t="s">
        <v>1531</v>
      </c>
      <c r="F27" s="37">
        <v>1000000</v>
      </c>
      <c r="G27" s="583" t="s">
        <v>23</v>
      </c>
      <c r="H27" s="583" t="s">
        <v>77</v>
      </c>
      <c r="I27" s="583">
        <v>1399</v>
      </c>
      <c r="J27" s="22" t="s">
        <v>25</v>
      </c>
      <c r="K27" s="106">
        <v>1</v>
      </c>
      <c r="L27" s="578"/>
      <c r="M27" s="90" t="s">
        <v>33</v>
      </c>
      <c r="N27" s="32"/>
      <c r="O27" s="32"/>
      <c r="P27" s="578"/>
    </row>
    <row r="28" spans="1:16" s="5" customFormat="1" ht="72">
      <c r="A28" s="588">
        <v>22</v>
      </c>
      <c r="B28" s="354" t="s">
        <v>272</v>
      </c>
      <c r="C28" s="578" t="s">
        <v>1565</v>
      </c>
      <c r="D28" s="40" t="s">
        <v>320</v>
      </c>
      <c r="E28" s="40" t="s">
        <v>1532</v>
      </c>
      <c r="F28" s="37">
        <v>1538000</v>
      </c>
      <c r="G28" s="583" t="s">
        <v>23</v>
      </c>
      <c r="H28" s="583" t="s">
        <v>77</v>
      </c>
      <c r="I28" s="583">
        <v>1399</v>
      </c>
      <c r="J28" s="22" t="s">
        <v>25</v>
      </c>
      <c r="K28" s="106">
        <v>1</v>
      </c>
      <c r="L28" s="578"/>
      <c r="M28" s="90" t="s">
        <v>33</v>
      </c>
      <c r="N28" s="32"/>
      <c r="O28" s="32"/>
      <c r="P28" s="578"/>
    </row>
    <row r="29" spans="1:16" s="5" customFormat="1" ht="54">
      <c r="A29" s="588">
        <v>23</v>
      </c>
      <c r="B29" s="354" t="s">
        <v>272</v>
      </c>
      <c r="C29" s="578" t="s">
        <v>1565</v>
      </c>
      <c r="D29" s="40" t="s">
        <v>320</v>
      </c>
      <c r="E29" s="40" t="s">
        <v>322</v>
      </c>
      <c r="F29" s="37">
        <v>72000</v>
      </c>
      <c r="G29" s="583" t="s">
        <v>23</v>
      </c>
      <c r="H29" s="583" t="s">
        <v>77</v>
      </c>
      <c r="I29" s="583">
        <v>1399</v>
      </c>
      <c r="J29" s="22" t="s">
        <v>25</v>
      </c>
      <c r="K29" s="106">
        <v>1</v>
      </c>
      <c r="L29" s="578"/>
      <c r="M29" s="90" t="s">
        <v>33</v>
      </c>
      <c r="N29" s="32"/>
      <c r="O29" s="32"/>
      <c r="P29" s="578"/>
    </row>
    <row r="30" spans="1:16" s="26" customFormat="1" ht="57" customHeight="1">
      <c r="A30" s="588">
        <v>24</v>
      </c>
      <c r="B30" s="20" t="s">
        <v>272</v>
      </c>
      <c r="C30" s="78"/>
      <c r="D30" s="40" t="s">
        <v>21</v>
      </c>
      <c r="E30" s="40" t="s">
        <v>240</v>
      </c>
      <c r="F30" s="37">
        <v>1920000</v>
      </c>
      <c r="G30" s="19" t="s">
        <v>23</v>
      </c>
      <c r="H30" s="19" t="s">
        <v>77</v>
      </c>
      <c r="I30" s="19">
        <v>1399</v>
      </c>
      <c r="J30" s="22" t="s">
        <v>25</v>
      </c>
      <c r="K30" s="106">
        <v>1</v>
      </c>
      <c r="L30" s="19"/>
      <c r="M30" s="90" t="s">
        <v>33</v>
      </c>
      <c r="N30" s="33"/>
      <c r="O30" s="76"/>
      <c r="P30" s="38"/>
    </row>
    <row r="31" spans="1:16" s="26" customFormat="1" ht="54">
      <c r="A31" s="588">
        <v>25</v>
      </c>
      <c r="B31" s="20" t="s">
        <v>272</v>
      </c>
      <c r="C31" s="78"/>
      <c r="D31" s="40" t="s">
        <v>21</v>
      </c>
      <c r="E31" s="40" t="s">
        <v>98</v>
      </c>
      <c r="F31" s="37">
        <v>47000</v>
      </c>
      <c r="G31" s="19" t="s">
        <v>23</v>
      </c>
      <c r="H31" s="19" t="s">
        <v>77</v>
      </c>
      <c r="I31" s="19">
        <v>1399</v>
      </c>
      <c r="J31" s="22" t="s">
        <v>25</v>
      </c>
      <c r="K31" s="106">
        <v>1</v>
      </c>
      <c r="L31" s="19"/>
      <c r="M31" s="90" t="s">
        <v>33</v>
      </c>
      <c r="N31" s="33"/>
      <c r="O31" s="76"/>
      <c r="P31" s="38"/>
    </row>
    <row r="32" spans="1:16" s="26" customFormat="1" ht="54">
      <c r="A32" s="588">
        <v>26</v>
      </c>
      <c r="B32" s="20" t="s">
        <v>272</v>
      </c>
      <c r="C32" s="78"/>
      <c r="D32" s="40" t="s">
        <v>21</v>
      </c>
      <c r="E32" s="40" t="s">
        <v>268</v>
      </c>
      <c r="F32" s="37">
        <v>135000</v>
      </c>
      <c r="G32" s="19" t="s">
        <v>23</v>
      </c>
      <c r="H32" s="19" t="s">
        <v>77</v>
      </c>
      <c r="I32" s="19">
        <v>1399</v>
      </c>
      <c r="J32" s="22" t="s">
        <v>25</v>
      </c>
      <c r="K32" s="106">
        <v>1</v>
      </c>
      <c r="L32" s="107"/>
      <c r="M32" s="90" t="s">
        <v>33</v>
      </c>
      <c r="N32" s="108"/>
      <c r="O32" s="76"/>
      <c r="P32" s="38"/>
    </row>
    <row r="33" spans="1:16" s="26" customFormat="1" ht="36">
      <c r="A33" s="588">
        <v>27</v>
      </c>
      <c r="B33" s="20" t="s">
        <v>272</v>
      </c>
      <c r="C33" s="78"/>
      <c r="D33" s="40" t="s">
        <v>21</v>
      </c>
      <c r="E33" s="40" t="s">
        <v>27</v>
      </c>
      <c r="F33" s="37">
        <v>20000</v>
      </c>
      <c r="G33" s="19" t="s">
        <v>23</v>
      </c>
      <c r="H33" s="19" t="s">
        <v>77</v>
      </c>
      <c r="I33" s="19">
        <v>1399</v>
      </c>
      <c r="J33" s="22" t="s">
        <v>25</v>
      </c>
      <c r="K33" s="106">
        <v>1</v>
      </c>
      <c r="L33" s="107"/>
      <c r="M33" s="90" t="s">
        <v>33</v>
      </c>
      <c r="N33" s="108"/>
      <c r="O33" s="76"/>
      <c r="P33" s="38"/>
    </row>
    <row r="34" spans="1:16" s="26" customFormat="1" ht="45" customHeight="1">
      <c r="A34" s="588">
        <v>28</v>
      </c>
      <c r="B34" s="20" t="s">
        <v>272</v>
      </c>
      <c r="C34" s="78"/>
      <c r="D34" s="40" t="s">
        <v>28</v>
      </c>
      <c r="E34" s="41" t="s">
        <v>273</v>
      </c>
      <c r="F34" s="37">
        <v>8820000</v>
      </c>
      <c r="G34" s="19" t="s">
        <v>23</v>
      </c>
      <c r="H34" s="19" t="s">
        <v>77</v>
      </c>
      <c r="I34" s="19">
        <v>1399</v>
      </c>
      <c r="J34" s="22" t="s">
        <v>25</v>
      </c>
      <c r="K34" s="106">
        <v>1</v>
      </c>
      <c r="L34" s="40"/>
      <c r="M34" s="90" t="s">
        <v>33</v>
      </c>
      <c r="N34" s="22"/>
      <c r="O34" s="40"/>
      <c r="P34" s="25" t="s">
        <v>17</v>
      </c>
    </row>
    <row r="35" spans="1:16" s="26" customFormat="1" ht="126">
      <c r="A35" s="588">
        <v>29</v>
      </c>
      <c r="B35" s="20" t="s">
        <v>272</v>
      </c>
      <c r="C35" s="78"/>
      <c r="D35" s="40" t="s">
        <v>28</v>
      </c>
      <c r="E35" s="40" t="s">
        <v>29</v>
      </c>
      <c r="F35" s="37">
        <v>135000</v>
      </c>
      <c r="G35" s="19" t="s">
        <v>23</v>
      </c>
      <c r="H35" s="19" t="s">
        <v>77</v>
      </c>
      <c r="I35" s="19">
        <v>1399</v>
      </c>
      <c r="J35" s="22" t="s">
        <v>25</v>
      </c>
      <c r="K35" s="106">
        <v>1</v>
      </c>
      <c r="L35" s="107"/>
      <c r="M35" s="90" t="s">
        <v>33</v>
      </c>
      <c r="N35" s="108"/>
      <c r="O35" s="76"/>
      <c r="P35" s="76"/>
    </row>
    <row r="36" spans="1:16" s="26" customFormat="1" ht="126">
      <c r="A36" s="588">
        <v>30</v>
      </c>
      <c r="B36" s="20" t="s">
        <v>272</v>
      </c>
      <c r="C36" s="78"/>
      <c r="D36" s="40" t="s">
        <v>28</v>
      </c>
      <c r="E36" s="41" t="s">
        <v>99</v>
      </c>
      <c r="F36" s="37">
        <v>62250</v>
      </c>
      <c r="G36" s="19" t="s">
        <v>23</v>
      </c>
      <c r="H36" s="19" t="s">
        <v>77</v>
      </c>
      <c r="I36" s="19">
        <v>1399</v>
      </c>
      <c r="J36" s="22" t="s">
        <v>25</v>
      </c>
      <c r="K36" s="106">
        <v>1</v>
      </c>
      <c r="L36" s="107"/>
      <c r="M36" s="90" t="s">
        <v>33</v>
      </c>
      <c r="N36" s="108"/>
      <c r="O36" s="76"/>
      <c r="P36" s="76"/>
    </row>
    <row r="37" spans="1:16" s="26" customFormat="1" ht="57" customHeight="1">
      <c r="A37" s="588">
        <v>31</v>
      </c>
      <c r="B37" s="20" t="s">
        <v>272</v>
      </c>
      <c r="C37" s="78"/>
      <c r="D37" s="40" t="s">
        <v>31</v>
      </c>
      <c r="E37" s="40" t="s">
        <v>80</v>
      </c>
      <c r="F37" s="37">
        <v>264500</v>
      </c>
      <c r="G37" s="19" t="s">
        <v>23</v>
      </c>
      <c r="H37" s="19" t="s">
        <v>77</v>
      </c>
      <c r="I37" s="19">
        <v>1399</v>
      </c>
      <c r="J37" s="22" t="s">
        <v>25</v>
      </c>
      <c r="K37" s="106">
        <v>1</v>
      </c>
      <c r="L37" s="105"/>
      <c r="M37" s="90" t="s">
        <v>33</v>
      </c>
      <c r="N37" s="108"/>
      <c r="O37" s="76"/>
      <c r="P37" s="38"/>
    </row>
    <row r="38" spans="1:16" s="26" customFormat="1" ht="77.25" customHeight="1">
      <c r="A38" s="588">
        <v>32</v>
      </c>
      <c r="B38" s="20" t="s">
        <v>272</v>
      </c>
      <c r="C38" s="78"/>
      <c r="D38" s="40" t="s">
        <v>31</v>
      </c>
      <c r="E38" s="40" t="s">
        <v>34</v>
      </c>
      <c r="F38" s="37">
        <v>237677</v>
      </c>
      <c r="G38" s="19" t="s">
        <v>23</v>
      </c>
      <c r="H38" s="19" t="s">
        <v>77</v>
      </c>
      <c r="I38" s="19">
        <v>1399</v>
      </c>
      <c r="J38" s="22" t="s">
        <v>25</v>
      </c>
      <c r="K38" s="106">
        <v>1</v>
      </c>
      <c r="L38" s="105"/>
      <c r="M38" s="90" t="s">
        <v>33</v>
      </c>
      <c r="N38" s="108"/>
      <c r="O38" s="76"/>
      <c r="P38" s="38"/>
    </row>
    <row r="39" spans="1:16" s="26" customFormat="1" ht="54">
      <c r="A39" s="588">
        <v>33</v>
      </c>
      <c r="B39" s="20" t="s">
        <v>272</v>
      </c>
      <c r="C39" s="78"/>
      <c r="D39" s="40" t="s">
        <v>31</v>
      </c>
      <c r="E39" s="40" t="s">
        <v>32</v>
      </c>
      <c r="F39" s="37">
        <v>182140</v>
      </c>
      <c r="G39" s="19" t="s">
        <v>23</v>
      </c>
      <c r="H39" s="19" t="s">
        <v>77</v>
      </c>
      <c r="I39" s="19">
        <v>1399</v>
      </c>
      <c r="J39" s="22" t="s">
        <v>25</v>
      </c>
      <c r="K39" s="106">
        <v>1</v>
      </c>
      <c r="L39" s="105"/>
      <c r="M39" s="90" t="s">
        <v>33</v>
      </c>
      <c r="N39" s="108"/>
      <c r="O39" s="76"/>
      <c r="P39" s="38"/>
    </row>
    <row r="40" spans="1:16" s="26" customFormat="1" ht="54">
      <c r="A40" s="588">
        <v>34</v>
      </c>
      <c r="B40" s="20" t="s">
        <v>272</v>
      </c>
      <c r="C40" s="78"/>
      <c r="D40" s="40" t="s">
        <v>31</v>
      </c>
      <c r="E40" s="40" t="s">
        <v>239</v>
      </c>
      <c r="F40" s="37">
        <f>3*500000</f>
        <v>1500000</v>
      </c>
      <c r="G40" s="19" t="s">
        <v>23</v>
      </c>
      <c r="H40" s="19" t="s">
        <v>77</v>
      </c>
      <c r="I40" s="19">
        <v>1399</v>
      </c>
      <c r="J40" s="22" t="s">
        <v>25</v>
      </c>
      <c r="K40" s="106"/>
      <c r="L40" s="107" t="s">
        <v>72</v>
      </c>
      <c r="M40" s="90" t="s">
        <v>17</v>
      </c>
      <c r="N40" s="33" t="s">
        <v>274</v>
      </c>
      <c r="O40" s="76" t="s">
        <v>275</v>
      </c>
      <c r="P40" s="38"/>
    </row>
    <row r="41" spans="1:16" s="34" customFormat="1" ht="52.5" customHeight="1">
      <c r="A41" s="588">
        <v>35</v>
      </c>
      <c r="B41" s="20" t="s">
        <v>272</v>
      </c>
      <c r="C41" s="78"/>
      <c r="D41" s="40" t="s">
        <v>40</v>
      </c>
      <c r="E41" s="41" t="s">
        <v>244</v>
      </c>
      <c r="F41" s="37">
        <f>2*1413600</f>
        <v>2827200</v>
      </c>
      <c r="G41" s="19" t="s">
        <v>23</v>
      </c>
      <c r="H41" s="19" t="s">
        <v>41</v>
      </c>
      <c r="I41" s="19">
        <v>1399</v>
      </c>
      <c r="J41" s="22" t="s">
        <v>25</v>
      </c>
      <c r="K41" s="106">
        <v>1</v>
      </c>
      <c r="L41" s="107"/>
      <c r="M41" s="90" t="s">
        <v>33</v>
      </c>
      <c r="N41" s="108"/>
      <c r="O41" s="87"/>
      <c r="P41" s="76"/>
    </row>
    <row r="42" spans="1:16" s="34" customFormat="1" ht="54">
      <c r="A42" s="588">
        <v>36</v>
      </c>
      <c r="B42" s="20" t="s">
        <v>272</v>
      </c>
      <c r="C42" s="78"/>
      <c r="D42" s="40" t="s">
        <v>40</v>
      </c>
      <c r="E42" s="41" t="s">
        <v>82</v>
      </c>
      <c r="F42" s="37">
        <f>110* 58032</f>
        <v>6383520</v>
      </c>
      <c r="G42" s="19" t="s">
        <v>23</v>
      </c>
      <c r="H42" s="19" t="s">
        <v>41</v>
      </c>
      <c r="I42" s="19">
        <v>1399</v>
      </c>
      <c r="J42" s="22" t="s">
        <v>25</v>
      </c>
      <c r="K42" s="106">
        <v>1</v>
      </c>
      <c r="L42" s="107"/>
      <c r="M42" s="90" t="s">
        <v>33</v>
      </c>
      <c r="N42" s="108"/>
      <c r="O42" s="76"/>
      <c r="P42" s="76"/>
    </row>
    <row r="43" spans="1:16" s="34" customFormat="1" ht="108">
      <c r="A43" s="588">
        <v>37</v>
      </c>
      <c r="B43" s="20" t="s">
        <v>272</v>
      </c>
      <c r="C43" s="78"/>
      <c r="D43" s="40" t="s">
        <v>40</v>
      </c>
      <c r="E43" s="41" t="s">
        <v>276</v>
      </c>
      <c r="F43" s="118">
        <v>0</v>
      </c>
      <c r="G43" s="19" t="s">
        <v>17</v>
      </c>
      <c r="H43" s="19" t="s">
        <v>17</v>
      </c>
      <c r="I43" s="19">
        <v>1399</v>
      </c>
      <c r="J43" s="22" t="s">
        <v>25</v>
      </c>
      <c r="K43" s="106">
        <v>1</v>
      </c>
      <c r="L43" s="107"/>
      <c r="M43" s="90" t="s">
        <v>33</v>
      </c>
      <c r="N43" s="108"/>
      <c r="O43" s="88"/>
      <c r="P43" s="76" t="s">
        <v>324</v>
      </c>
    </row>
    <row r="44" spans="1:16" s="34" customFormat="1" ht="54">
      <c r="A44" s="588">
        <v>38</v>
      </c>
      <c r="B44" s="20" t="s">
        <v>272</v>
      </c>
      <c r="C44" s="78"/>
      <c r="D44" s="40" t="s">
        <v>40</v>
      </c>
      <c r="E44" s="41" t="s">
        <v>197</v>
      </c>
      <c r="F44" s="37">
        <f>4* 848904</f>
        <v>3395616</v>
      </c>
      <c r="G44" s="19" t="s">
        <v>23</v>
      </c>
      <c r="H44" s="19" t="s">
        <v>41</v>
      </c>
      <c r="I44" s="19">
        <v>1399</v>
      </c>
      <c r="J44" s="22" t="s">
        <v>25</v>
      </c>
      <c r="K44" s="106">
        <v>1</v>
      </c>
      <c r="L44" s="107"/>
      <c r="M44" s="90" t="s">
        <v>33</v>
      </c>
      <c r="N44" s="108"/>
      <c r="O44" s="87"/>
      <c r="P44" s="76"/>
    </row>
    <row r="45" spans="1:16" s="34" customFormat="1" ht="107.45" customHeight="1">
      <c r="A45" s="588">
        <v>39</v>
      </c>
      <c r="B45" s="20" t="s">
        <v>272</v>
      </c>
      <c r="C45" s="78"/>
      <c r="D45" s="40" t="s">
        <v>40</v>
      </c>
      <c r="E45" s="89" t="s">
        <v>277</v>
      </c>
      <c r="F45" s="37">
        <f>18* 102300</f>
        <v>1841400</v>
      </c>
      <c r="G45" s="19" t="s">
        <v>23</v>
      </c>
      <c r="H45" s="19" t="s">
        <v>41</v>
      </c>
      <c r="I45" s="19">
        <v>1399</v>
      </c>
      <c r="J45" s="22" t="s">
        <v>25</v>
      </c>
      <c r="K45" s="106">
        <v>1</v>
      </c>
      <c r="L45" s="107" t="s">
        <v>1828</v>
      </c>
      <c r="M45" s="90" t="s">
        <v>33</v>
      </c>
      <c r="N45" s="22" t="s">
        <v>325</v>
      </c>
      <c r="O45" s="22" t="s">
        <v>971</v>
      </c>
      <c r="P45" s="76"/>
    </row>
    <row r="46" spans="1:16" s="34" customFormat="1" ht="126">
      <c r="A46" s="588">
        <v>40</v>
      </c>
      <c r="B46" s="20" t="s">
        <v>272</v>
      </c>
      <c r="C46" s="78"/>
      <c r="D46" s="40" t="s">
        <v>40</v>
      </c>
      <c r="E46" s="89" t="s">
        <v>150</v>
      </c>
      <c r="F46" s="118">
        <f>10* 68634</f>
        <v>686340</v>
      </c>
      <c r="G46" s="19" t="s">
        <v>23</v>
      </c>
      <c r="H46" s="19" t="s">
        <v>41</v>
      </c>
      <c r="I46" s="19">
        <v>1399</v>
      </c>
      <c r="J46" s="22" t="s">
        <v>25</v>
      </c>
      <c r="K46" s="106">
        <v>1</v>
      </c>
      <c r="L46" s="107" t="s">
        <v>1828</v>
      </c>
      <c r="M46" s="90" t="s">
        <v>33</v>
      </c>
      <c r="N46" s="22" t="s">
        <v>325</v>
      </c>
      <c r="O46" s="22" t="s">
        <v>971</v>
      </c>
      <c r="P46" s="76"/>
    </row>
    <row r="47" spans="1:16" s="34" customFormat="1" ht="126">
      <c r="A47" s="588">
        <v>41</v>
      </c>
      <c r="B47" s="20" t="s">
        <v>272</v>
      </c>
      <c r="C47" s="78"/>
      <c r="D47" s="40" t="s">
        <v>40</v>
      </c>
      <c r="E47" s="41" t="s">
        <v>278</v>
      </c>
      <c r="F47" s="37">
        <f>20* 223200</f>
        <v>4464000</v>
      </c>
      <c r="G47" s="19" t="s">
        <v>23</v>
      </c>
      <c r="H47" s="19" t="s">
        <v>41</v>
      </c>
      <c r="I47" s="19">
        <v>1399</v>
      </c>
      <c r="J47" s="22" t="s">
        <v>25</v>
      </c>
      <c r="K47" s="106">
        <v>1</v>
      </c>
      <c r="L47" s="107" t="s">
        <v>1828</v>
      </c>
      <c r="M47" s="90" t="s">
        <v>33</v>
      </c>
      <c r="N47" s="22" t="s">
        <v>325</v>
      </c>
      <c r="O47" s="22" t="s">
        <v>971</v>
      </c>
      <c r="P47" s="76"/>
    </row>
    <row r="48" spans="1:16" s="34" customFormat="1" ht="126">
      <c r="A48" s="588">
        <v>42</v>
      </c>
      <c r="B48" s="20" t="s">
        <v>272</v>
      </c>
      <c r="C48" s="78"/>
      <c r="D48" s="40" t="s">
        <v>40</v>
      </c>
      <c r="E48" s="41" t="s">
        <v>151</v>
      </c>
      <c r="F48" s="37">
        <f>2*  304452</f>
        <v>608904</v>
      </c>
      <c r="G48" s="19" t="s">
        <v>23</v>
      </c>
      <c r="H48" s="19" t="s">
        <v>41</v>
      </c>
      <c r="I48" s="19">
        <v>1399</v>
      </c>
      <c r="J48" s="22" t="s">
        <v>25</v>
      </c>
      <c r="K48" s="106">
        <v>1</v>
      </c>
      <c r="L48" s="107" t="s">
        <v>1828</v>
      </c>
      <c r="M48" s="90" t="s">
        <v>33</v>
      </c>
      <c r="N48" s="22" t="s">
        <v>325</v>
      </c>
      <c r="O48" s="22" t="s">
        <v>971</v>
      </c>
      <c r="P48" s="76"/>
    </row>
    <row r="49" spans="1:16" s="34" customFormat="1" ht="54">
      <c r="A49" s="588">
        <v>43</v>
      </c>
      <c r="B49" s="20" t="s">
        <v>272</v>
      </c>
      <c r="C49" s="78"/>
      <c r="D49" s="40" t="s">
        <v>40</v>
      </c>
      <c r="E49" s="41" t="s">
        <v>279</v>
      </c>
      <c r="F49" s="37">
        <f>1170*148</f>
        <v>173160</v>
      </c>
      <c r="G49" s="19" t="s">
        <v>23</v>
      </c>
      <c r="H49" s="19" t="s">
        <v>41</v>
      </c>
      <c r="I49" s="19">
        <v>1399</v>
      </c>
      <c r="J49" s="22" t="s">
        <v>25</v>
      </c>
      <c r="K49" s="106">
        <v>1</v>
      </c>
      <c r="L49" s="107"/>
      <c r="M49" s="90" t="s">
        <v>33</v>
      </c>
      <c r="N49" s="108"/>
      <c r="O49" s="76"/>
      <c r="P49" s="76"/>
    </row>
    <row r="50" spans="1:16" s="34" customFormat="1" ht="105" customHeight="1">
      <c r="A50" s="588">
        <v>44</v>
      </c>
      <c r="B50" s="20" t="s">
        <v>272</v>
      </c>
      <c r="C50" s="78"/>
      <c r="D50" s="40" t="s">
        <v>40</v>
      </c>
      <c r="E50" s="41" t="s">
        <v>86</v>
      </c>
      <c r="F50" s="37">
        <f>2* 375000</f>
        <v>750000</v>
      </c>
      <c r="G50" s="19" t="s">
        <v>23</v>
      </c>
      <c r="H50" s="19" t="s">
        <v>41</v>
      </c>
      <c r="I50" s="19">
        <v>1399</v>
      </c>
      <c r="J50" s="22" t="s">
        <v>25</v>
      </c>
      <c r="K50" s="106">
        <v>1</v>
      </c>
      <c r="L50" s="107" t="s">
        <v>1828</v>
      </c>
      <c r="M50" s="90" t="s">
        <v>33</v>
      </c>
      <c r="N50" s="22" t="s">
        <v>325</v>
      </c>
      <c r="O50" s="22" t="s">
        <v>56</v>
      </c>
      <c r="P50" s="38"/>
    </row>
    <row r="51" spans="1:16" s="34" customFormat="1" ht="54">
      <c r="A51" s="588">
        <v>45</v>
      </c>
      <c r="B51" s="20" t="s">
        <v>272</v>
      </c>
      <c r="C51" s="78"/>
      <c r="D51" s="40" t="s">
        <v>40</v>
      </c>
      <c r="E51" s="41" t="s">
        <v>136</v>
      </c>
      <c r="F51" s="37">
        <f>26*22320</f>
        <v>580320</v>
      </c>
      <c r="G51" s="19" t="s">
        <v>23</v>
      </c>
      <c r="H51" s="19" t="s">
        <v>41</v>
      </c>
      <c r="I51" s="19">
        <v>1399</v>
      </c>
      <c r="J51" s="22" t="s">
        <v>25</v>
      </c>
      <c r="K51" s="106">
        <v>1</v>
      </c>
      <c r="L51" s="107"/>
      <c r="M51" s="90" t="s">
        <v>33</v>
      </c>
      <c r="N51" s="108"/>
      <c r="O51" s="76"/>
      <c r="P51" s="76"/>
    </row>
    <row r="52" spans="1:16" s="34" customFormat="1" ht="54">
      <c r="A52" s="588">
        <v>46</v>
      </c>
      <c r="B52" s="20" t="s">
        <v>272</v>
      </c>
      <c r="C52" s="78"/>
      <c r="D52" s="40" t="s">
        <v>40</v>
      </c>
      <c r="E52" s="41" t="s">
        <v>204</v>
      </c>
      <c r="F52" s="37">
        <f>100* 3645</f>
        <v>364500</v>
      </c>
      <c r="G52" s="19" t="s">
        <v>23</v>
      </c>
      <c r="H52" s="19" t="s">
        <v>41</v>
      </c>
      <c r="I52" s="19">
        <v>1399</v>
      </c>
      <c r="J52" s="22" t="s">
        <v>25</v>
      </c>
      <c r="K52" s="106">
        <v>1</v>
      </c>
      <c r="L52" s="107"/>
      <c r="M52" s="90" t="s">
        <v>33</v>
      </c>
      <c r="N52" s="108"/>
      <c r="O52" s="76"/>
      <c r="P52" s="76"/>
    </row>
    <row r="53" spans="1:16" s="34" customFormat="1" ht="54">
      <c r="A53" s="588">
        <v>47</v>
      </c>
      <c r="B53" s="20" t="s">
        <v>272</v>
      </c>
      <c r="C53" s="78"/>
      <c r="D53" s="40" t="s">
        <v>40</v>
      </c>
      <c r="E53" s="41" t="s">
        <v>280</v>
      </c>
      <c r="F53" s="37">
        <f>10* 44640</f>
        <v>446400</v>
      </c>
      <c r="G53" s="19" t="s">
        <v>23</v>
      </c>
      <c r="H53" s="19" t="s">
        <v>41</v>
      </c>
      <c r="I53" s="19">
        <v>1399</v>
      </c>
      <c r="J53" s="22" t="s">
        <v>25</v>
      </c>
      <c r="K53" s="106">
        <v>1</v>
      </c>
      <c r="L53" s="107"/>
      <c r="M53" s="90" t="s">
        <v>33</v>
      </c>
      <c r="N53" s="108"/>
      <c r="O53" s="76"/>
      <c r="P53" s="76"/>
    </row>
    <row r="54" spans="1:16" s="34" customFormat="1" ht="54">
      <c r="A54" s="588">
        <v>48</v>
      </c>
      <c r="B54" s="20" t="s">
        <v>272</v>
      </c>
      <c r="C54" s="78"/>
      <c r="D54" s="40" t="s">
        <v>40</v>
      </c>
      <c r="E54" s="41" t="s">
        <v>252</v>
      </c>
      <c r="F54" s="37">
        <f>20* 52471</f>
        <v>1049420</v>
      </c>
      <c r="G54" s="19" t="s">
        <v>23</v>
      </c>
      <c r="H54" s="19" t="s">
        <v>41</v>
      </c>
      <c r="I54" s="19">
        <v>1399</v>
      </c>
      <c r="J54" s="22" t="s">
        <v>25</v>
      </c>
      <c r="K54" s="106">
        <v>1</v>
      </c>
      <c r="L54" s="107"/>
      <c r="M54" s="90" t="s">
        <v>33</v>
      </c>
      <c r="N54" s="108"/>
      <c r="O54" s="76"/>
      <c r="P54" s="76"/>
    </row>
    <row r="55" spans="1:16" s="34" customFormat="1" ht="54">
      <c r="A55" s="588">
        <v>49</v>
      </c>
      <c r="B55" s="20" t="s">
        <v>272</v>
      </c>
      <c r="C55" s="78"/>
      <c r="D55" s="40" t="s">
        <v>40</v>
      </c>
      <c r="E55" s="41" t="s">
        <v>47</v>
      </c>
      <c r="F55" s="37">
        <f>150*1518</f>
        <v>227700</v>
      </c>
      <c r="G55" s="19" t="s">
        <v>23</v>
      </c>
      <c r="H55" s="19" t="s">
        <v>41</v>
      </c>
      <c r="I55" s="19">
        <v>1399</v>
      </c>
      <c r="J55" s="22" t="s">
        <v>25</v>
      </c>
      <c r="K55" s="106">
        <v>1</v>
      </c>
      <c r="L55" s="107"/>
      <c r="M55" s="90" t="s">
        <v>33</v>
      </c>
      <c r="N55" s="108"/>
      <c r="O55" s="76"/>
      <c r="P55" s="38"/>
    </row>
    <row r="56" spans="1:16" s="34" customFormat="1" ht="54">
      <c r="A56" s="588">
        <v>50</v>
      </c>
      <c r="B56" s="20" t="s">
        <v>272</v>
      </c>
      <c r="C56" s="78"/>
      <c r="D56" s="40" t="s">
        <v>40</v>
      </c>
      <c r="E56" s="41" t="s">
        <v>48</v>
      </c>
      <c r="F56" s="37">
        <f>2* 42514</f>
        <v>85028</v>
      </c>
      <c r="G56" s="19" t="s">
        <v>23</v>
      </c>
      <c r="H56" s="19" t="s">
        <v>41</v>
      </c>
      <c r="I56" s="19">
        <v>1399</v>
      </c>
      <c r="J56" s="22" t="s">
        <v>25</v>
      </c>
      <c r="K56" s="106">
        <v>1</v>
      </c>
      <c r="L56" s="107"/>
      <c r="M56" s="90" t="s">
        <v>33</v>
      </c>
      <c r="N56" s="108"/>
      <c r="O56" s="76"/>
      <c r="P56" s="76"/>
    </row>
    <row r="57" spans="1:16" s="34" customFormat="1" ht="54">
      <c r="A57" s="588">
        <v>51</v>
      </c>
      <c r="B57" s="20" t="s">
        <v>272</v>
      </c>
      <c r="C57" s="78"/>
      <c r="D57" s="40" t="s">
        <v>40</v>
      </c>
      <c r="E57" s="40" t="s">
        <v>91</v>
      </c>
      <c r="F57" s="37">
        <f>100* 1041</f>
        <v>104100</v>
      </c>
      <c r="G57" s="19" t="s">
        <v>23</v>
      </c>
      <c r="H57" s="19" t="s">
        <v>41</v>
      </c>
      <c r="I57" s="19">
        <v>1399</v>
      </c>
      <c r="J57" s="22" t="s">
        <v>25</v>
      </c>
      <c r="K57" s="106">
        <v>1</v>
      </c>
      <c r="L57" s="107"/>
      <c r="M57" s="90" t="s">
        <v>33</v>
      </c>
      <c r="N57" s="108"/>
      <c r="O57" s="76"/>
      <c r="P57" s="76"/>
    </row>
    <row r="58" spans="1:16" s="34" customFormat="1" ht="54">
      <c r="A58" s="588">
        <v>52</v>
      </c>
      <c r="B58" s="20" t="s">
        <v>272</v>
      </c>
      <c r="C58" s="78"/>
      <c r="D58" s="40" t="s">
        <v>40</v>
      </c>
      <c r="E58" s="40" t="s">
        <v>153</v>
      </c>
      <c r="F58" s="37">
        <f>100* 729</f>
        <v>72900</v>
      </c>
      <c r="G58" s="19" t="s">
        <v>23</v>
      </c>
      <c r="H58" s="19" t="s">
        <v>41</v>
      </c>
      <c r="I58" s="19">
        <v>1399</v>
      </c>
      <c r="J58" s="22" t="s">
        <v>25</v>
      </c>
      <c r="K58" s="106">
        <v>1</v>
      </c>
      <c r="L58" s="107"/>
      <c r="M58" s="90" t="s">
        <v>33</v>
      </c>
      <c r="N58" s="108"/>
      <c r="O58" s="76"/>
      <c r="P58" s="76"/>
    </row>
    <row r="59" spans="1:16" s="34" customFormat="1" ht="54">
      <c r="A59" s="588">
        <v>53</v>
      </c>
      <c r="B59" s="20" t="s">
        <v>272</v>
      </c>
      <c r="C59" s="78"/>
      <c r="D59" s="40" t="s">
        <v>40</v>
      </c>
      <c r="E59" s="40" t="s">
        <v>93</v>
      </c>
      <c r="F59" s="37">
        <f>100*911</f>
        <v>91100</v>
      </c>
      <c r="G59" s="19" t="s">
        <v>23</v>
      </c>
      <c r="H59" s="19" t="s">
        <v>41</v>
      </c>
      <c r="I59" s="19">
        <v>1399</v>
      </c>
      <c r="J59" s="22" t="s">
        <v>25</v>
      </c>
      <c r="K59" s="106">
        <v>1</v>
      </c>
      <c r="L59" s="107"/>
      <c r="M59" s="90" t="s">
        <v>33</v>
      </c>
      <c r="N59" s="108"/>
      <c r="O59" s="76"/>
      <c r="P59" s="76"/>
    </row>
    <row r="60" spans="1:16" s="34" customFormat="1" ht="54">
      <c r="A60" s="588">
        <v>54</v>
      </c>
      <c r="B60" s="20" t="s">
        <v>272</v>
      </c>
      <c r="C60" s="78"/>
      <c r="D60" s="40" t="s">
        <v>40</v>
      </c>
      <c r="E60" s="41" t="s">
        <v>234</v>
      </c>
      <c r="F60" s="37">
        <f>500* 315</f>
        <v>157500</v>
      </c>
      <c r="G60" s="19" t="s">
        <v>23</v>
      </c>
      <c r="H60" s="19" t="s">
        <v>41</v>
      </c>
      <c r="I60" s="19">
        <v>1399</v>
      </c>
      <c r="J60" s="22" t="s">
        <v>25</v>
      </c>
      <c r="K60" s="106">
        <v>1</v>
      </c>
      <c r="L60" s="107"/>
      <c r="M60" s="90" t="s">
        <v>33</v>
      </c>
      <c r="N60" s="108"/>
      <c r="O60" s="76"/>
      <c r="P60" s="76"/>
    </row>
    <row r="61" spans="1:16" s="34" customFormat="1" ht="54">
      <c r="A61" s="588">
        <v>55</v>
      </c>
      <c r="B61" s="20" t="s">
        <v>272</v>
      </c>
      <c r="C61" s="78"/>
      <c r="D61" s="40" t="s">
        <v>40</v>
      </c>
      <c r="E61" s="41" t="s">
        <v>94</v>
      </c>
      <c r="F61" s="37">
        <f>2* 45570</f>
        <v>91140</v>
      </c>
      <c r="G61" s="19" t="s">
        <v>23</v>
      </c>
      <c r="H61" s="19" t="s">
        <v>41</v>
      </c>
      <c r="I61" s="19">
        <v>1399</v>
      </c>
      <c r="J61" s="22" t="s">
        <v>25</v>
      </c>
      <c r="K61" s="106">
        <v>1</v>
      </c>
      <c r="L61" s="107"/>
      <c r="M61" s="90" t="s">
        <v>33</v>
      </c>
      <c r="N61" s="108"/>
      <c r="O61" s="76"/>
      <c r="P61" s="38"/>
    </row>
    <row r="62" spans="1:16" s="34" customFormat="1" ht="126">
      <c r="A62" s="588">
        <v>56</v>
      </c>
      <c r="B62" s="20" t="s">
        <v>272</v>
      </c>
      <c r="C62" s="78"/>
      <c r="D62" s="40" t="s">
        <v>40</v>
      </c>
      <c r="E62" s="41" t="s">
        <v>51</v>
      </c>
      <c r="F62" s="37">
        <f>5* 10416</f>
        <v>52080</v>
      </c>
      <c r="G62" s="19" t="s">
        <v>23</v>
      </c>
      <c r="H62" s="19" t="s">
        <v>41</v>
      </c>
      <c r="I62" s="19">
        <v>1399</v>
      </c>
      <c r="J62" s="22" t="s">
        <v>25</v>
      </c>
      <c r="K62" s="106">
        <v>1</v>
      </c>
      <c r="L62" s="107" t="s">
        <v>1828</v>
      </c>
      <c r="M62" s="90" t="s">
        <v>33</v>
      </c>
      <c r="N62" s="22" t="s">
        <v>325</v>
      </c>
      <c r="O62" s="22" t="s">
        <v>971</v>
      </c>
      <c r="P62" s="76"/>
    </row>
    <row r="63" spans="1:16" s="34" customFormat="1" ht="126">
      <c r="A63" s="588">
        <v>57</v>
      </c>
      <c r="B63" s="20" t="s">
        <v>272</v>
      </c>
      <c r="C63" s="78"/>
      <c r="D63" s="40" t="s">
        <v>40</v>
      </c>
      <c r="E63" s="41" t="s">
        <v>270</v>
      </c>
      <c r="F63" s="37">
        <f>5* 36456</f>
        <v>182280</v>
      </c>
      <c r="G63" s="19" t="s">
        <v>23</v>
      </c>
      <c r="H63" s="19" t="s">
        <v>41</v>
      </c>
      <c r="I63" s="19">
        <v>1399</v>
      </c>
      <c r="J63" s="22" t="s">
        <v>25</v>
      </c>
      <c r="K63" s="106">
        <v>1</v>
      </c>
      <c r="L63" s="107" t="s">
        <v>1828</v>
      </c>
      <c r="M63" s="90" t="s">
        <v>33</v>
      </c>
      <c r="N63" s="22" t="s">
        <v>325</v>
      </c>
      <c r="O63" s="22" t="s">
        <v>971</v>
      </c>
      <c r="P63" s="76"/>
    </row>
    <row r="64" spans="1:16" s="34" customFormat="1" ht="54">
      <c r="A64" s="588">
        <v>58</v>
      </c>
      <c r="B64" s="20" t="s">
        <v>272</v>
      </c>
      <c r="C64" s="78"/>
      <c r="D64" s="40" t="s">
        <v>40</v>
      </c>
      <c r="E64" s="41" t="s">
        <v>281</v>
      </c>
      <c r="F64" s="37">
        <f>24000* 31</f>
        <v>744000</v>
      </c>
      <c r="G64" s="19" t="s">
        <v>23</v>
      </c>
      <c r="H64" s="19" t="s">
        <v>41</v>
      </c>
      <c r="I64" s="19">
        <v>1399</v>
      </c>
      <c r="J64" s="22" t="s">
        <v>25</v>
      </c>
      <c r="K64" s="106">
        <v>1</v>
      </c>
      <c r="L64" s="107"/>
      <c r="M64" s="90" t="s">
        <v>33</v>
      </c>
      <c r="N64" s="108"/>
      <c r="O64" s="76"/>
      <c r="P64" s="76"/>
    </row>
    <row r="65" spans="1:16" s="34" customFormat="1" ht="54">
      <c r="A65" s="588">
        <v>59</v>
      </c>
      <c r="B65" s="20" t="s">
        <v>272</v>
      </c>
      <c r="C65" s="78"/>
      <c r="D65" s="40" t="s">
        <v>40</v>
      </c>
      <c r="E65" s="41" t="s">
        <v>282</v>
      </c>
      <c r="F65" s="37">
        <f>140000* 6.4</f>
        <v>896000</v>
      </c>
      <c r="G65" s="19" t="s">
        <v>23</v>
      </c>
      <c r="H65" s="19" t="s">
        <v>41</v>
      </c>
      <c r="I65" s="19">
        <v>1399</v>
      </c>
      <c r="J65" s="22" t="s">
        <v>25</v>
      </c>
      <c r="K65" s="106">
        <v>1</v>
      </c>
      <c r="L65" s="107"/>
      <c r="M65" s="90" t="s">
        <v>33</v>
      </c>
      <c r="N65" s="108"/>
      <c r="O65" s="76"/>
      <c r="P65" s="76"/>
    </row>
    <row r="66" spans="1:16" s="34" customFormat="1" ht="73.900000000000006" customHeight="1">
      <c r="A66" s="588">
        <v>60</v>
      </c>
      <c r="B66" s="20" t="s">
        <v>272</v>
      </c>
      <c r="C66" s="78"/>
      <c r="D66" s="40" t="s">
        <v>40</v>
      </c>
      <c r="E66" s="41" t="s">
        <v>271</v>
      </c>
      <c r="F66" s="37">
        <f>7* 38500</f>
        <v>269500</v>
      </c>
      <c r="G66" s="19" t="s">
        <v>23</v>
      </c>
      <c r="H66" s="19" t="s">
        <v>41</v>
      </c>
      <c r="I66" s="19">
        <v>1399</v>
      </c>
      <c r="J66" s="22" t="s">
        <v>25</v>
      </c>
      <c r="K66" s="106">
        <v>1</v>
      </c>
      <c r="L66" s="107"/>
      <c r="M66" s="90" t="s">
        <v>33</v>
      </c>
      <c r="N66" s="108"/>
      <c r="O66" s="76"/>
      <c r="P66" s="76"/>
    </row>
    <row r="67" spans="1:16" s="34" customFormat="1" ht="72">
      <c r="A67" s="588">
        <v>61</v>
      </c>
      <c r="B67" s="20" t="s">
        <v>272</v>
      </c>
      <c r="C67" s="78"/>
      <c r="D67" s="40" t="s">
        <v>40</v>
      </c>
      <c r="E67" s="41" t="s">
        <v>254</v>
      </c>
      <c r="F67" s="118">
        <v>240000</v>
      </c>
      <c r="G67" s="19" t="s">
        <v>23</v>
      </c>
      <c r="H67" s="19" t="s">
        <v>41</v>
      </c>
      <c r="I67" s="19">
        <v>1399</v>
      </c>
      <c r="J67" s="22" t="s">
        <v>25</v>
      </c>
      <c r="K67" s="106">
        <v>1</v>
      </c>
      <c r="L67" s="107"/>
      <c r="M67" s="90" t="s">
        <v>33</v>
      </c>
      <c r="N67" s="108"/>
      <c r="O67" s="76"/>
      <c r="P67" s="76"/>
    </row>
    <row r="68" spans="1:16" s="34" customFormat="1" ht="72">
      <c r="A68" s="588">
        <v>62</v>
      </c>
      <c r="B68" s="20" t="s">
        <v>272</v>
      </c>
      <c r="C68" s="78"/>
      <c r="D68" s="40" t="s">
        <v>40</v>
      </c>
      <c r="E68" s="41" t="s">
        <v>255</v>
      </c>
      <c r="F68" s="118">
        <v>700000</v>
      </c>
      <c r="G68" s="19" t="s">
        <v>23</v>
      </c>
      <c r="H68" s="19" t="s">
        <v>41</v>
      </c>
      <c r="I68" s="19">
        <v>1399</v>
      </c>
      <c r="J68" s="22" t="s">
        <v>25</v>
      </c>
      <c r="K68" s="106">
        <v>1</v>
      </c>
      <c r="L68" s="107"/>
      <c r="M68" s="90" t="s">
        <v>33</v>
      </c>
      <c r="N68" s="108"/>
      <c r="O68" s="76"/>
      <c r="P68" s="76"/>
    </row>
    <row r="69" spans="1:16" s="34" customFormat="1" ht="105.6" customHeight="1">
      <c r="A69" s="588">
        <v>63</v>
      </c>
      <c r="B69" s="20" t="s">
        <v>272</v>
      </c>
      <c r="C69" s="78"/>
      <c r="D69" s="40" t="s">
        <v>40</v>
      </c>
      <c r="E69" s="41" t="s">
        <v>263</v>
      </c>
      <c r="F69" s="37">
        <f>(10010000/1000000)*60000</f>
        <v>600600</v>
      </c>
      <c r="G69" s="19" t="s">
        <v>23</v>
      </c>
      <c r="H69" s="19" t="s">
        <v>41</v>
      </c>
      <c r="I69" s="19">
        <v>1399</v>
      </c>
      <c r="J69" s="22" t="s">
        <v>25</v>
      </c>
      <c r="K69" s="106">
        <v>1</v>
      </c>
      <c r="L69" s="107" t="s">
        <v>1828</v>
      </c>
      <c r="M69" s="90" t="s">
        <v>33</v>
      </c>
      <c r="N69" s="22" t="s">
        <v>325</v>
      </c>
      <c r="O69" s="22" t="s">
        <v>971</v>
      </c>
      <c r="P69" s="76"/>
    </row>
    <row r="70" spans="1:16" s="34" customFormat="1" ht="100.15" customHeight="1">
      <c r="A70" s="588">
        <v>64</v>
      </c>
      <c r="B70" s="20" t="s">
        <v>272</v>
      </c>
      <c r="C70" s="78"/>
      <c r="D70" s="40" t="s">
        <v>40</v>
      </c>
      <c r="E70" s="41" t="s">
        <v>96</v>
      </c>
      <c r="F70" s="37">
        <v>2695000</v>
      </c>
      <c r="G70" s="19" t="s">
        <v>23</v>
      </c>
      <c r="H70" s="19" t="s">
        <v>41</v>
      </c>
      <c r="I70" s="19">
        <v>1399</v>
      </c>
      <c r="J70" s="22" t="s">
        <v>25</v>
      </c>
      <c r="K70" s="106">
        <v>1</v>
      </c>
      <c r="L70" s="107" t="s">
        <v>1828</v>
      </c>
      <c r="M70" s="90" t="s">
        <v>33</v>
      </c>
      <c r="N70" s="22" t="s">
        <v>325</v>
      </c>
      <c r="O70" s="22" t="s">
        <v>971</v>
      </c>
      <c r="P70" s="76"/>
    </row>
    <row r="71" spans="1:16" ht="90">
      <c r="A71" s="588">
        <v>65</v>
      </c>
      <c r="B71" s="6" t="s">
        <v>75</v>
      </c>
      <c r="C71" s="78"/>
      <c r="D71" s="40" t="s">
        <v>76</v>
      </c>
      <c r="E71" s="76" t="s">
        <v>283</v>
      </c>
      <c r="F71" s="35">
        <v>129349486</v>
      </c>
      <c r="G71" s="19" t="s">
        <v>23</v>
      </c>
      <c r="H71" s="22" t="s">
        <v>77</v>
      </c>
      <c r="I71" s="19">
        <v>1399</v>
      </c>
      <c r="J71" s="22" t="s">
        <v>25</v>
      </c>
      <c r="K71" s="60">
        <v>1</v>
      </c>
      <c r="L71" s="33"/>
      <c r="M71" s="90" t="s">
        <v>17</v>
      </c>
      <c r="N71" s="33"/>
      <c r="O71" s="33"/>
      <c r="P71" s="33"/>
    </row>
    <row r="72" spans="1:16" s="34" customFormat="1" ht="105" customHeight="1">
      <c r="A72" s="588">
        <v>66</v>
      </c>
      <c r="B72" s="354" t="s">
        <v>272</v>
      </c>
      <c r="C72" s="351" t="s">
        <v>1009</v>
      </c>
      <c r="D72" s="40" t="s">
        <v>111</v>
      </c>
      <c r="E72" s="40" t="s">
        <v>1065</v>
      </c>
      <c r="F72" s="37">
        <v>840000</v>
      </c>
      <c r="G72" s="467" t="s">
        <v>23</v>
      </c>
      <c r="H72" s="467" t="s">
        <v>77</v>
      </c>
      <c r="I72" s="467">
        <v>1399</v>
      </c>
      <c r="J72" s="22" t="s">
        <v>25</v>
      </c>
      <c r="K72" s="109">
        <v>1</v>
      </c>
      <c r="L72" s="482" t="s">
        <v>17</v>
      </c>
      <c r="M72" s="90" t="s">
        <v>33</v>
      </c>
      <c r="N72" s="483"/>
      <c r="O72" s="483"/>
      <c r="P72" s="110"/>
    </row>
    <row r="73" spans="1:16" s="34" customFormat="1" ht="36">
      <c r="A73" s="588">
        <v>67</v>
      </c>
      <c r="B73" s="354" t="s">
        <v>272</v>
      </c>
      <c r="C73" s="351" t="s">
        <v>1009</v>
      </c>
      <c r="D73" s="40" t="s">
        <v>111</v>
      </c>
      <c r="E73" s="40" t="s">
        <v>112</v>
      </c>
      <c r="F73" s="37">
        <v>240000</v>
      </c>
      <c r="G73" s="467" t="s">
        <v>23</v>
      </c>
      <c r="H73" s="467" t="s">
        <v>77</v>
      </c>
      <c r="I73" s="467">
        <v>1399</v>
      </c>
      <c r="J73" s="22" t="s">
        <v>25</v>
      </c>
      <c r="K73" s="109">
        <v>1</v>
      </c>
      <c r="L73" s="482"/>
      <c r="M73" s="90" t="s">
        <v>33</v>
      </c>
      <c r="N73" s="483"/>
      <c r="O73" s="483"/>
      <c r="P73" s="110"/>
    </row>
    <row r="74" spans="1:16" s="34" customFormat="1" ht="36">
      <c r="A74" s="588">
        <v>68</v>
      </c>
      <c r="B74" s="354" t="s">
        <v>272</v>
      </c>
      <c r="C74" s="351" t="s">
        <v>1066</v>
      </c>
      <c r="D74" s="40" t="s">
        <v>111</v>
      </c>
      <c r="E74" s="40" t="s">
        <v>113</v>
      </c>
      <c r="F74" s="37">
        <v>120000</v>
      </c>
      <c r="G74" s="467" t="s">
        <v>23</v>
      </c>
      <c r="H74" s="467" t="s">
        <v>77</v>
      </c>
      <c r="I74" s="467">
        <v>1399</v>
      </c>
      <c r="J74" s="22" t="s">
        <v>25</v>
      </c>
      <c r="K74" s="109">
        <v>1</v>
      </c>
      <c r="L74" s="482"/>
      <c r="M74" s="90" t="s">
        <v>33</v>
      </c>
      <c r="N74" s="483"/>
      <c r="O74" s="483"/>
      <c r="P74" s="110"/>
    </row>
    <row r="75" spans="1:16" s="559" customFormat="1" ht="61.5" customHeight="1">
      <c r="A75" s="588">
        <v>69</v>
      </c>
      <c r="B75" s="354" t="s">
        <v>272</v>
      </c>
      <c r="C75" s="354"/>
      <c r="D75" s="196" t="s">
        <v>73</v>
      </c>
      <c r="E75" s="237" t="s">
        <v>74</v>
      </c>
      <c r="F75" s="37">
        <v>569738.95200000005</v>
      </c>
      <c r="G75" s="561" t="s">
        <v>23</v>
      </c>
      <c r="H75" s="561" t="s">
        <v>77</v>
      </c>
      <c r="I75" s="561">
        <v>1399</v>
      </c>
      <c r="J75" s="22" t="s">
        <v>25</v>
      </c>
      <c r="K75" s="265"/>
      <c r="L75" s="285" t="s">
        <v>72</v>
      </c>
      <c r="M75" s="494"/>
      <c r="N75" s="623" t="s">
        <v>581</v>
      </c>
      <c r="O75" s="236"/>
      <c r="P75" s="560"/>
    </row>
    <row r="76" spans="1:16" s="559" customFormat="1" ht="61.5" customHeight="1">
      <c r="A76" s="588">
        <v>70</v>
      </c>
      <c r="B76" s="354" t="s">
        <v>272</v>
      </c>
      <c r="C76" s="354"/>
      <c r="D76" s="196" t="s">
        <v>73</v>
      </c>
      <c r="E76" s="237" t="s">
        <v>97</v>
      </c>
      <c r="F76" s="37">
        <v>1282840</v>
      </c>
      <c r="G76" s="561" t="s">
        <v>23</v>
      </c>
      <c r="H76" s="561" t="s">
        <v>77</v>
      </c>
      <c r="I76" s="561">
        <v>1399</v>
      </c>
      <c r="J76" s="22" t="s">
        <v>25</v>
      </c>
      <c r="K76" s="265"/>
      <c r="L76" s="285" t="s">
        <v>72</v>
      </c>
      <c r="M76" s="494"/>
      <c r="N76" s="623" t="s">
        <v>581</v>
      </c>
      <c r="O76" s="236"/>
      <c r="P76" s="560"/>
    </row>
  </sheetData>
  <autoFilter ref="D1:D71"/>
  <mergeCells count="14">
    <mergeCell ref="A1:P4"/>
    <mergeCell ref="N5:N6"/>
    <mergeCell ref="O5:O6"/>
    <mergeCell ref="P5:P6"/>
    <mergeCell ref="F5:H5"/>
    <mergeCell ref="I5:I6"/>
    <mergeCell ref="J5:J6"/>
    <mergeCell ref="K5:K6"/>
    <mergeCell ref="L5:M5"/>
    <mergeCell ref="A5:A6"/>
    <mergeCell ref="B5:B6"/>
    <mergeCell ref="C5:C6"/>
    <mergeCell ref="D5:D6"/>
    <mergeCell ref="E5:E6"/>
  </mergeCells>
  <printOptions horizontalCentered="1"/>
  <pageMargins left="0.2" right="0.2" top="0.5" bottom="0.5" header="0.3" footer="0.3"/>
  <pageSetup paperSize="9" scale="62"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sheetPr>
    <tabColor rgb="FF92D050"/>
  </sheetPr>
  <dimension ref="A1:R138"/>
  <sheetViews>
    <sheetView rightToLeft="1" view="pageBreakPreview" topLeftCell="A131" zoomScale="86" zoomScaleSheetLayoutView="86" workbookViewId="0">
      <selection activeCell="K137" sqref="K137"/>
    </sheetView>
  </sheetViews>
  <sheetFormatPr defaultColWidth="9.140625" defaultRowHeight="15"/>
  <cols>
    <col min="1" max="1" width="8.5703125" style="1" customWidth="1"/>
    <col min="2" max="2" width="13" style="10" customWidth="1"/>
    <col min="3" max="3" width="11.5703125" style="3" customWidth="1"/>
    <col min="4" max="4" width="14.140625" style="10" customWidth="1"/>
    <col min="5" max="5" width="31.42578125" style="7" customWidth="1"/>
    <col min="6" max="6" width="20.140625" style="2" customWidth="1"/>
    <col min="7" max="7" width="10.28515625" style="2" customWidth="1"/>
    <col min="8" max="8" width="12.28515625" style="2" customWidth="1"/>
    <col min="9" max="9" width="11.28515625" style="1" customWidth="1"/>
    <col min="10" max="10" width="14.140625" style="9" customWidth="1"/>
    <col min="11" max="11" width="12.28515625" style="14" customWidth="1"/>
    <col min="12" max="12" width="8.7109375" style="15" customWidth="1"/>
    <col min="13" max="13" width="18.7109375" style="17" customWidth="1"/>
    <col min="14" max="14" width="17.28515625" style="12" customWidth="1"/>
    <col min="15" max="15" width="16.140625" style="9" customWidth="1"/>
    <col min="16" max="16" width="11.85546875" style="4" customWidth="1"/>
    <col min="17" max="16384" width="9.140625" style="4"/>
  </cols>
  <sheetData>
    <row r="1" spans="1:16" ht="57.75" customHeight="1">
      <c r="A1" s="788" t="s">
        <v>1883</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4.6" customHeight="1">
      <c r="A5" s="791" t="s">
        <v>0</v>
      </c>
      <c r="B5" s="791" t="s">
        <v>14</v>
      </c>
      <c r="C5" s="791" t="s">
        <v>18</v>
      </c>
      <c r="D5" s="791" t="s">
        <v>1</v>
      </c>
      <c r="E5" s="791" t="s">
        <v>15</v>
      </c>
      <c r="F5" s="791" t="s">
        <v>9</v>
      </c>
      <c r="G5" s="791"/>
      <c r="H5" s="791"/>
      <c r="I5" s="791" t="s">
        <v>7</v>
      </c>
      <c r="J5" s="791" t="s">
        <v>6</v>
      </c>
      <c r="K5" s="833" t="s">
        <v>16</v>
      </c>
      <c r="L5" s="791" t="s">
        <v>2</v>
      </c>
      <c r="M5" s="791"/>
      <c r="N5" s="820" t="s">
        <v>5</v>
      </c>
      <c r="O5" s="791" t="s">
        <v>13</v>
      </c>
      <c r="P5" s="834" t="s">
        <v>8</v>
      </c>
    </row>
    <row r="6" spans="1:16" ht="37.15" customHeight="1">
      <c r="A6" s="791"/>
      <c r="B6" s="791"/>
      <c r="C6" s="791"/>
      <c r="D6" s="791"/>
      <c r="E6" s="791"/>
      <c r="F6" s="69" t="s">
        <v>10</v>
      </c>
      <c r="G6" s="69" t="s">
        <v>11</v>
      </c>
      <c r="H6" s="69" t="s">
        <v>12</v>
      </c>
      <c r="I6" s="791"/>
      <c r="J6" s="791"/>
      <c r="K6" s="833"/>
      <c r="L6" s="69" t="s">
        <v>3</v>
      </c>
      <c r="M6" s="70" t="s">
        <v>4</v>
      </c>
      <c r="N6" s="820"/>
      <c r="O6" s="791"/>
      <c r="P6" s="835"/>
    </row>
    <row r="7" spans="1:16" s="5" customFormat="1" ht="36">
      <c r="A7" s="82">
        <v>1</v>
      </c>
      <c r="B7" s="6" t="s">
        <v>75</v>
      </c>
      <c r="C7" s="354"/>
      <c r="D7" s="594" t="s">
        <v>1566</v>
      </c>
      <c r="E7" s="85" t="s">
        <v>1567</v>
      </c>
      <c r="F7" s="122">
        <v>2160000</v>
      </c>
      <c r="G7" s="578" t="s">
        <v>23</v>
      </c>
      <c r="H7" s="578" t="s">
        <v>77</v>
      </c>
      <c r="I7" s="578">
        <v>1399</v>
      </c>
      <c r="J7" s="90" t="s">
        <v>25</v>
      </c>
      <c r="K7" s="60">
        <v>1</v>
      </c>
      <c r="L7" s="90"/>
      <c r="M7" s="349" t="s">
        <v>33</v>
      </c>
      <c r="N7" s="85"/>
      <c r="O7" s="90"/>
      <c r="P7" s="578"/>
    </row>
    <row r="8" spans="1:16" s="5" customFormat="1" ht="36">
      <c r="A8" s="82">
        <v>2</v>
      </c>
      <c r="B8" s="6" t="s">
        <v>75</v>
      </c>
      <c r="C8" s="354"/>
      <c r="D8" s="594" t="s">
        <v>1566</v>
      </c>
      <c r="E8" s="85" t="s">
        <v>1568</v>
      </c>
      <c r="F8" s="122">
        <v>3429999</v>
      </c>
      <c r="G8" s="578" t="s">
        <v>23</v>
      </c>
      <c r="H8" s="578" t="s">
        <v>77</v>
      </c>
      <c r="I8" s="578">
        <v>1399</v>
      </c>
      <c r="J8" s="90" t="s">
        <v>25</v>
      </c>
      <c r="K8" s="60">
        <v>1</v>
      </c>
      <c r="L8" s="90"/>
      <c r="M8" s="349" t="s">
        <v>33</v>
      </c>
      <c r="N8" s="85"/>
      <c r="O8" s="90"/>
      <c r="P8" s="578"/>
    </row>
    <row r="9" spans="1:16" s="5" customFormat="1" ht="72">
      <c r="A9" s="82">
        <v>3</v>
      </c>
      <c r="B9" s="6" t="s">
        <v>75</v>
      </c>
      <c r="C9" s="354"/>
      <c r="D9" s="349" t="s">
        <v>1569</v>
      </c>
      <c r="E9" s="85" t="s">
        <v>1570</v>
      </c>
      <c r="F9" s="122">
        <v>50000</v>
      </c>
      <c r="G9" s="578" t="s">
        <v>23</v>
      </c>
      <c r="H9" s="578" t="s">
        <v>77</v>
      </c>
      <c r="I9" s="578">
        <v>1399</v>
      </c>
      <c r="J9" s="90" t="s">
        <v>25</v>
      </c>
      <c r="K9" s="60">
        <v>1</v>
      </c>
      <c r="L9" s="90"/>
      <c r="M9" s="349" t="s">
        <v>33</v>
      </c>
      <c r="N9" s="85"/>
      <c r="O9" s="90"/>
      <c r="P9" s="578"/>
    </row>
    <row r="10" spans="1:16" s="5" customFormat="1" ht="72">
      <c r="A10" s="82">
        <v>4</v>
      </c>
      <c r="B10" s="6" t="s">
        <v>75</v>
      </c>
      <c r="C10" s="354"/>
      <c r="D10" s="349" t="s">
        <v>1569</v>
      </c>
      <c r="E10" s="85" t="s">
        <v>1571</v>
      </c>
      <c r="F10" s="122">
        <v>80000</v>
      </c>
      <c r="G10" s="578" t="s">
        <v>23</v>
      </c>
      <c r="H10" s="578" t="s">
        <v>77</v>
      </c>
      <c r="I10" s="578">
        <v>1399</v>
      </c>
      <c r="J10" s="90" t="s">
        <v>25</v>
      </c>
      <c r="K10" s="60">
        <v>1</v>
      </c>
      <c r="L10" s="90"/>
      <c r="M10" s="349" t="s">
        <v>33</v>
      </c>
      <c r="N10" s="85"/>
      <c r="O10" s="90"/>
      <c r="P10" s="578"/>
    </row>
    <row r="11" spans="1:16" s="5" customFormat="1" ht="72">
      <c r="A11" s="82">
        <v>5</v>
      </c>
      <c r="B11" s="6" t="s">
        <v>75</v>
      </c>
      <c r="C11" s="354"/>
      <c r="D11" s="349" t="s">
        <v>1569</v>
      </c>
      <c r="E11" s="85" t="s">
        <v>1572</v>
      </c>
      <c r="F11" s="122">
        <v>630000</v>
      </c>
      <c r="G11" s="578" t="s">
        <v>23</v>
      </c>
      <c r="H11" s="578" t="s">
        <v>77</v>
      </c>
      <c r="I11" s="578">
        <v>1399</v>
      </c>
      <c r="J11" s="90" t="s">
        <v>25</v>
      </c>
      <c r="K11" s="60">
        <v>1</v>
      </c>
      <c r="L11" s="90"/>
      <c r="M11" s="349" t="s">
        <v>33</v>
      </c>
      <c r="N11" s="85"/>
      <c r="O11" s="90"/>
      <c r="P11" s="578"/>
    </row>
    <row r="12" spans="1:16" s="5" customFormat="1" ht="72">
      <c r="A12" s="82">
        <v>6</v>
      </c>
      <c r="B12" s="6" t="s">
        <v>75</v>
      </c>
      <c r="C12" s="354"/>
      <c r="D12" s="349" t="s">
        <v>1569</v>
      </c>
      <c r="E12" s="85" t="s">
        <v>1573</v>
      </c>
      <c r="F12" s="122">
        <v>500000</v>
      </c>
      <c r="G12" s="578" t="s">
        <v>23</v>
      </c>
      <c r="H12" s="578" t="s">
        <v>77</v>
      </c>
      <c r="I12" s="578">
        <v>1399</v>
      </c>
      <c r="J12" s="90" t="s">
        <v>25</v>
      </c>
      <c r="K12" s="60">
        <v>1</v>
      </c>
      <c r="L12" s="90"/>
      <c r="M12" s="349" t="s">
        <v>33</v>
      </c>
      <c r="N12" s="85"/>
      <c r="O12" s="90"/>
      <c r="P12" s="578"/>
    </row>
    <row r="13" spans="1:16" s="5" customFormat="1" ht="72">
      <c r="A13" s="82">
        <v>7</v>
      </c>
      <c r="B13" s="6" t="s">
        <v>75</v>
      </c>
      <c r="C13" s="354"/>
      <c r="D13" s="349" t="s">
        <v>1569</v>
      </c>
      <c r="E13" s="85" t="s">
        <v>1551</v>
      </c>
      <c r="F13" s="122">
        <v>2500000</v>
      </c>
      <c r="G13" s="578" t="s">
        <v>23</v>
      </c>
      <c r="H13" s="578" t="s">
        <v>77</v>
      </c>
      <c r="I13" s="578">
        <v>1399</v>
      </c>
      <c r="J13" s="90" t="s">
        <v>25</v>
      </c>
      <c r="K13" s="60">
        <v>1</v>
      </c>
      <c r="L13" s="90"/>
      <c r="M13" s="349" t="s">
        <v>33</v>
      </c>
      <c r="N13" s="85"/>
      <c r="O13" s="90"/>
      <c r="P13" s="578"/>
    </row>
    <row r="14" spans="1:16" s="5" customFormat="1" ht="72">
      <c r="A14" s="82">
        <v>8</v>
      </c>
      <c r="B14" s="6" t="s">
        <v>75</v>
      </c>
      <c r="C14" s="354"/>
      <c r="D14" s="349" t="s">
        <v>1569</v>
      </c>
      <c r="E14" s="85" t="s">
        <v>1574</v>
      </c>
      <c r="F14" s="122">
        <v>2500000</v>
      </c>
      <c r="G14" s="578" t="s">
        <v>23</v>
      </c>
      <c r="H14" s="578" t="s">
        <v>77</v>
      </c>
      <c r="I14" s="578">
        <v>1399</v>
      </c>
      <c r="J14" s="90" t="s">
        <v>25</v>
      </c>
      <c r="K14" s="60">
        <v>1</v>
      </c>
      <c r="L14" s="90"/>
      <c r="M14" s="349" t="s">
        <v>33</v>
      </c>
      <c r="N14" s="85"/>
      <c r="O14" s="90"/>
      <c r="P14" s="578"/>
    </row>
    <row r="15" spans="1:16" s="5" customFormat="1" ht="72">
      <c r="A15" s="82">
        <v>9</v>
      </c>
      <c r="B15" s="6" t="s">
        <v>75</v>
      </c>
      <c r="C15" s="354"/>
      <c r="D15" s="349" t="s">
        <v>1569</v>
      </c>
      <c r="E15" s="85" t="s">
        <v>1575</v>
      </c>
      <c r="F15" s="122">
        <v>4800000</v>
      </c>
      <c r="G15" s="578" t="s">
        <v>23</v>
      </c>
      <c r="H15" s="578" t="s">
        <v>77</v>
      </c>
      <c r="I15" s="578">
        <v>1399</v>
      </c>
      <c r="J15" s="90" t="s">
        <v>25</v>
      </c>
      <c r="K15" s="60">
        <v>1</v>
      </c>
      <c r="L15" s="90"/>
      <c r="M15" s="349" t="s">
        <v>33</v>
      </c>
      <c r="N15" s="85"/>
      <c r="O15" s="90"/>
      <c r="P15" s="578"/>
    </row>
    <row r="16" spans="1:16" s="5" customFormat="1" ht="72">
      <c r="A16" s="82">
        <v>10</v>
      </c>
      <c r="B16" s="6" t="s">
        <v>75</v>
      </c>
      <c r="C16" s="354"/>
      <c r="D16" s="349" t="s">
        <v>1569</v>
      </c>
      <c r="E16" s="85" t="s">
        <v>1576</v>
      </c>
      <c r="F16" s="122">
        <v>6000000</v>
      </c>
      <c r="G16" s="578" t="s">
        <v>23</v>
      </c>
      <c r="H16" s="578" t="s">
        <v>77</v>
      </c>
      <c r="I16" s="578">
        <v>1399</v>
      </c>
      <c r="J16" s="90" t="s">
        <v>25</v>
      </c>
      <c r="K16" s="60">
        <v>1</v>
      </c>
      <c r="L16" s="90"/>
      <c r="M16" s="349" t="s">
        <v>33</v>
      </c>
      <c r="N16" s="85"/>
      <c r="O16" s="90"/>
      <c r="P16" s="578"/>
    </row>
    <row r="17" spans="1:16" s="5" customFormat="1" ht="72">
      <c r="A17" s="82">
        <v>11</v>
      </c>
      <c r="B17" s="6" t="s">
        <v>75</v>
      </c>
      <c r="C17" s="354"/>
      <c r="D17" s="349" t="s">
        <v>1569</v>
      </c>
      <c r="E17" s="85" t="s">
        <v>1555</v>
      </c>
      <c r="F17" s="122">
        <v>200000</v>
      </c>
      <c r="G17" s="578" t="s">
        <v>23</v>
      </c>
      <c r="H17" s="578" t="s">
        <v>77</v>
      </c>
      <c r="I17" s="578">
        <v>1399</v>
      </c>
      <c r="J17" s="90" t="s">
        <v>25</v>
      </c>
      <c r="K17" s="60">
        <v>1</v>
      </c>
      <c r="L17" s="90"/>
      <c r="M17" s="349" t="s">
        <v>33</v>
      </c>
      <c r="N17" s="85"/>
      <c r="O17" s="90"/>
      <c r="P17" s="578"/>
    </row>
    <row r="18" spans="1:16" s="5" customFormat="1" ht="72">
      <c r="A18" s="82">
        <v>12</v>
      </c>
      <c r="B18" s="6" t="s">
        <v>75</v>
      </c>
      <c r="C18" s="354"/>
      <c r="D18" s="349" t="s">
        <v>1569</v>
      </c>
      <c r="E18" s="85" t="s">
        <v>1577</v>
      </c>
      <c r="F18" s="122">
        <v>100000</v>
      </c>
      <c r="G18" s="578" t="s">
        <v>23</v>
      </c>
      <c r="H18" s="578" t="s">
        <v>77</v>
      </c>
      <c r="I18" s="578">
        <v>1399</v>
      </c>
      <c r="J18" s="90" t="s">
        <v>25</v>
      </c>
      <c r="K18" s="60">
        <v>1</v>
      </c>
      <c r="L18" s="90"/>
      <c r="M18" s="349" t="s">
        <v>33</v>
      </c>
      <c r="N18" s="85"/>
      <c r="O18" s="90"/>
      <c r="P18" s="578"/>
    </row>
    <row r="19" spans="1:16" s="5" customFormat="1" ht="72">
      <c r="A19" s="82">
        <v>13</v>
      </c>
      <c r="B19" s="6" t="s">
        <v>75</v>
      </c>
      <c r="C19" s="354"/>
      <c r="D19" s="349" t="s">
        <v>1569</v>
      </c>
      <c r="E19" s="85" t="s">
        <v>1578</v>
      </c>
      <c r="F19" s="122">
        <v>60000</v>
      </c>
      <c r="G19" s="578" t="s">
        <v>23</v>
      </c>
      <c r="H19" s="578" t="s">
        <v>77</v>
      </c>
      <c r="I19" s="578">
        <v>1399</v>
      </c>
      <c r="J19" s="90" t="s">
        <v>25</v>
      </c>
      <c r="K19" s="60">
        <v>1</v>
      </c>
      <c r="L19" s="90"/>
      <c r="M19" s="349" t="s">
        <v>33</v>
      </c>
      <c r="N19" s="85"/>
      <c r="O19" s="90"/>
      <c r="P19" s="578"/>
    </row>
    <row r="20" spans="1:16" s="5" customFormat="1" ht="72">
      <c r="A20" s="82">
        <v>14</v>
      </c>
      <c r="B20" s="6" t="s">
        <v>75</v>
      </c>
      <c r="C20" s="354"/>
      <c r="D20" s="349" t="s">
        <v>1569</v>
      </c>
      <c r="E20" s="85" t="s">
        <v>1579</v>
      </c>
      <c r="F20" s="122">
        <v>266666.40000000002</v>
      </c>
      <c r="G20" s="578" t="s">
        <v>23</v>
      </c>
      <c r="H20" s="578" t="s">
        <v>77</v>
      </c>
      <c r="I20" s="578">
        <v>1399</v>
      </c>
      <c r="J20" s="90" t="s">
        <v>25</v>
      </c>
      <c r="K20" s="60">
        <v>1</v>
      </c>
      <c r="L20" s="90"/>
      <c r="M20" s="349" t="s">
        <v>33</v>
      </c>
      <c r="N20" s="85"/>
      <c r="O20" s="90"/>
      <c r="P20" s="578"/>
    </row>
    <row r="21" spans="1:16" s="5" customFormat="1" ht="72">
      <c r="A21" s="82">
        <v>15</v>
      </c>
      <c r="B21" s="6" t="s">
        <v>75</v>
      </c>
      <c r="C21" s="354"/>
      <c r="D21" s="349" t="s">
        <v>1569</v>
      </c>
      <c r="E21" s="85" t="s">
        <v>1580</v>
      </c>
      <c r="F21" s="122">
        <v>444443.99999999994</v>
      </c>
      <c r="G21" s="578" t="s">
        <v>23</v>
      </c>
      <c r="H21" s="578" t="s">
        <v>77</v>
      </c>
      <c r="I21" s="578">
        <v>1399</v>
      </c>
      <c r="J21" s="90" t="s">
        <v>25</v>
      </c>
      <c r="K21" s="60">
        <v>1</v>
      </c>
      <c r="L21" s="90"/>
      <c r="M21" s="349" t="s">
        <v>33</v>
      </c>
      <c r="N21" s="85"/>
      <c r="O21" s="90"/>
      <c r="P21" s="578"/>
    </row>
    <row r="22" spans="1:16" s="5" customFormat="1" ht="72">
      <c r="A22" s="82">
        <v>16</v>
      </c>
      <c r="B22" s="6" t="s">
        <v>75</v>
      </c>
      <c r="C22" s="354"/>
      <c r="D22" s="349" t="s">
        <v>1569</v>
      </c>
      <c r="E22" s="85" t="s">
        <v>1581</v>
      </c>
      <c r="F22" s="122">
        <v>1066668</v>
      </c>
      <c r="G22" s="578" t="s">
        <v>23</v>
      </c>
      <c r="H22" s="578" t="s">
        <v>77</v>
      </c>
      <c r="I22" s="578">
        <v>1399</v>
      </c>
      <c r="J22" s="90" t="s">
        <v>25</v>
      </c>
      <c r="K22" s="60">
        <v>1</v>
      </c>
      <c r="L22" s="90"/>
      <c r="M22" s="349" t="s">
        <v>33</v>
      </c>
      <c r="N22" s="85"/>
      <c r="O22" s="90"/>
      <c r="P22" s="578"/>
    </row>
    <row r="23" spans="1:16" s="5" customFormat="1" ht="72">
      <c r="A23" s="82">
        <v>17</v>
      </c>
      <c r="B23" s="6" t="s">
        <v>75</v>
      </c>
      <c r="C23" s="354"/>
      <c r="D23" s="349" t="s">
        <v>1569</v>
      </c>
      <c r="E23" s="85" t="s">
        <v>1582</v>
      </c>
      <c r="F23" s="122">
        <v>1333335</v>
      </c>
      <c r="G23" s="578" t="s">
        <v>23</v>
      </c>
      <c r="H23" s="578" t="s">
        <v>77</v>
      </c>
      <c r="I23" s="578">
        <v>1399</v>
      </c>
      <c r="J23" s="90" t="s">
        <v>25</v>
      </c>
      <c r="K23" s="60">
        <v>1</v>
      </c>
      <c r="L23" s="90"/>
      <c r="M23" s="349" t="s">
        <v>33</v>
      </c>
      <c r="N23" s="85"/>
      <c r="O23" s="90"/>
      <c r="P23" s="578"/>
    </row>
    <row r="24" spans="1:16" s="5" customFormat="1" ht="72">
      <c r="A24" s="82">
        <v>18</v>
      </c>
      <c r="B24" s="6" t="s">
        <v>75</v>
      </c>
      <c r="C24" s="354"/>
      <c r="D24" s="349" t="s">
        <v>1569</v>
      </c>
      <c r="E24" s="85" t="s">
        <v>1583</v>
      </c>
      <c r="F24" s="122">
        <v>800000</v>
      </c>
      <c r="G24" s="578" t="s">
        <v>23</v>
      </c>
      <c r="H24" s="578" t="s">
        <v>77</v>
      </c>
      <c r="I24" s="578">
        <v>1399</v>
      </c>
      <c r="J24" s="90" t="s">
        <v>25</v>
      </c>
      <c r="K24" s="60">
        <v>1</v>
      </c>
      <c r="L24" s="90"/>
      <c r="M24" s="349" t="s">
        <v>33</v>
      </c>
      <c r="N24" s="85"/>
      <c r="O24" s="90"/>
      <c r="P24" s="578"/>
    </row>
    <row r="25" spans="1:16" s="5" customFormat="1" ht="72">
      <c r="A25" s="82">
        <v>19</v>
      </c>
      <c r="B25" s="6" t="s">
        <v>75</v>
      </c>
      <c r="C25" s="354"/>
      <c r="D25" s="349" t="s">
        <v>1569</v>
      </c>
      <c r="E25" s="85" t="s">
        <v>1584</v>
      </c>
      <c r="F25" s="122">
        <v>711112</v>
      </c>
      <c r="G25" s="578" t="s">
        <v>23</v>
      </c>
      <c r="H25" s="578" t="s">
        <v>77</v>
      </c>
      <c r="I25" s="578">
        <v>1399</v>
      </c>
      <c r="J25" s="90" t="s">
        <v>25</v>
      </c>
      <c r="K25" s="60">
        <v>1</v>
      </c>
      <c r="L25" s="90"/>
      <c r="M25" s="349" t="s">
        <v>33</v>
      </c>
      <c r="N25" s="85"/>
      <c r="O25" s="90"/>
      <c r="P25" s="578"/>
    </row>
    <row r="26" spans="1:16" s="5" customFormat="1" ht="72">
      <c r="A26" s="82">
        <v>20</v>
      </c>
      <c r="B26" s="6" t="s">
        <v>75</v>
      </c>
      <c r="C26" s="354"/>
      <c r="D26" s="349" t="s">
        <v>1569</v>
      </c>
      <c r="E26" s="85" t="s">
        <v>1585</v>
      </c>
      <c r="F26" s="122">
        <v>266667</v>
      </c>
      <c r="G26" s="578" t="s">
        <v>23</v>
      </c>
      <c r="H26" s="578" t="s">
        <v>77</v>
      </c>
      <c r="I26" s="578">
        <v>1399</v>
      </c>
      <c r="J26" s="90" t="s">
        <v>25</v>
      </c>
      <c r="K26" s="60">
        <v>1</v>
      </c>
      <c r="L26" s="90"/>
      <c r="M26" s="349" t="s">
        <v>33</v>
      </c>
      <c r="N26" s="85"/>
      <c r="O26" s="90"/>
      <c r="P26" s="578"/>
    </row>
    <row r="27" spans="1:16" s="5" customFormat="1" ht="72">
      <c r="A27" s="82">
        <v>21</v>
      </c>
      <c r="B27" s="6" t="s">
        <v>75</v>
      </c>
      <c r="C27" s="354"/>
      <c r="D27" s="349" t="s">
        <v>1569</v>
      </c>
      <c r="E27" s="85" t="s">
        <v>1586</v>
      </c>
      <c r="F27" s="122">
        <v>354666.66666666663</v>
      </c>
      <c r="G27" s="578" t="s">
        <v>23</v>
      </c>
      <c r="H27" s="578" t="s">
        <v>77</v>
      </c>
      <c r="I27" s="578">
        <v>1399</v>
      </c>
      <c r="J27" s="90" t="s">
        <v>25</v>
      </c>
      <c r="K27" s="60">
        <v>1</v>
      </c>
      <c r="L27" s="90"/>
      <c r="M27" s="349" t="s">
        <v>33</v>
      </c>
      <c r="N27" s="85"/>
      <c r="O27" s="90"/>
      <c r="P27" s="578"/>
    </row>
    <row r="28" spans="1:16" s="5" customFormat="1" ht="72">
      <c r="A28" s="82">
        <v>22</v>
      </c>
      <c r="B28" s="6" t="s">
        <v>75</v>
      </c>
      <c r="C28" s="354"/>
      <c r="D28" s="349" t="s">
        <v>1569</v>
      </c>
      <c r="E28" s="85" t="s">
        <v>1587</v>
      </c>
      <c r="F28" s="122">
        <v>20000</v>
      </c>
      <c r="G28" s="578" t="s">
        <v>23</v>
      </c>
      <c r="H28" s="578" t="s">
        <v>77</v>
      </c>
      <c r="I28" s="578">
        <v>1399</v>
      </c>
      <c r="J28" s="90" t="s">
        <v>25</v>
      </c>
      <c r="K28" s="60">
        <v>1</v>
      </c>
      <c r="L28" s="90"/>
      <c r="M28" s="349" t="s">
        <v>33</v>
      </c>
      <c r="N28" s="85"/>
      <c r="O28" s="90"/>
      <c r="P28" s="578"/>
    </row>
    <row r="29" spans="1:16" s="5" customFormat="1" ht="72">
      <c r="A29" s="82">
        <v>23</v>
      </c>
      <c r="B29" s="6" t="s">
        <v>75</v>
      </c>
      <c r="C29" s="354"/>
      <c r="D29" s="349" t="s">
        <v>320</v>
      </c>
      <c r="E29" s="595" t="s">
        <v>1588</v>
      </c>
      <c r="F29" s="122">
        <v>1500000</v>
      </c>
      <c r="G29" s="578" t="s">
        <v>23</v>
      </c>
      <c r="H29" s="578" t="s">
        <v>77</v>
      </c>
      <c r="I29" s="578">
        <v>1399</v>
      </c>
      <c r="J29" s="90" t="s">
        <v>25</v>
      </c>
      <c r="K29" s="60">
        <v>1</v>
      </c>
      <c r="L29" s="90"/>
      <c r="M29" s="349" t="s">
        <v>33</v>
      </c>
      <c r="N29" s="85"/>
      <c r="O29" s="90"/>
      <c r="P29" s="578"/>
    </row>
    <row r="30" spans="1:16" s="5" customFormat="1" ht="72">
      <c r="A30" s="82">
        <v>24</v>
      </c>
      <c r="B30" s="6" t="s">
        <v>75</v>
      </c>
      <c r="C30" s="354"/>
      <c r="D30" s="349" t="s">
        <v>320</v>
      </c>
      <c r="E30" s="595" t="s">
        <v>1589</v>
      </c>
      <c r="F30" s="122">
        <v>60000</v>
      </c>
      <c r="G30" s="578" t="s">
        <v>23</v>
      </c>
      <c r="H30" s="578" t="s">
        <v>77</v>
      </c>
      <c r="I30" s="578">
        <v>1399</v>
      </c>
      <c r="J30" s="90" t="s">
        <v>25</v>
      </c>
      <c r="K30" s="60">
        <v>1</v>
      </c>
      <c r="L30" s="90"/>
      <c r="M30" s="349" t="s">
        <v>33</v>
      </c>
      <c r="N30" s="85"/>
      <c r="O30" s="90"/>
      <c r="P30" s="578"/>
    </row>
    <row r="31" spans="1:16" s="5" customFormat="1" ht="54">
      <c r="A31" s="82">
        <v>25</v>
      </c>
      <c r="B31" s="6" t="s">
        <v>75</v>
      </c>
      <c r="C31" s="354" t="s">
        <v>1590</v>
      </c>
      <c r="D31" s="349" t="s">
        <v>320</v>
      </c>
      <c r="E31" s="85" t="s">
        <v>1479</v>
      </c>
      <c r="F31" s="122">
        <v>457333.33333333331</v>
      </c>
      <c r="G31" s="578" t="s">
        <v>23</v>
      </c>
      <c r="H31" s="578" t="s">
        <v>77</v>
      </c>
      <c r="I31" s="578">
        <v>1399</v>
      </c>
      <c r="J31" s="90" t="s">
        <v>25</v>
      </c>
      <c r="K31" s="60">
        <v>1</v>
      </c>
      <c r="L31" s="90"/>
      <c r="M31" s="349" t="s">
        <v>33</v>
      </c>
      <c r="N31" s="85"/>
      <c r="O31" s="90"/>
      <c r="P31" s="578"/>
    </row>
    <row r="32" spans="1:16" s="5" customFormat="1" ht="72">
      <c r="A32" s="82">
        <v>26</v>
      </c>
      <c r="B32" s="6" t="s">
        <v>75</v>
      </c>
      <c r="C32" s="354" t="s">
        <v>1591</v>
      </c>
      <c r="D32" s="349" t="s">
        <v>320</v>
      </c>
      <c r="E32" s="85" t="s">
        <v>321</v>
      </c>
      <c r="F32" s="122">
        <v>123000</v>
      </c>
      <c r="G32" s="578" t="s">
        <v>23</v>
      </c>
      <c r="H32" s="578" t="s">
        <v>77</v>
      </c>
      <c r="I32" s="578">
        <v>1399</v>
      </c>
      <c r="J32" s="90" t="s">
        <v>25</v>
      </c>
      <c r="K32" s="60">
        <v>1</v>
      </c>
      <c r="L32" s="90"/>
      <c r="M32" s="349" t="s">
        <v>33</v>
      </c>
      <c r="N32" s="85"/>
      <c r="O32" s="90"/>
      <c r="P32" s="578"/>
    </row>
    <row r="33" spans="1:16" s="5" customFormat="1" ht="90">
      <c r="A33" s="82">
        <v>27</v>
      </c>
      <c r="B33" s="6" t="s">
        <v>75</v>
      </c>
      <c r="C33" s="354" t="s">
        <v>1591</v>
      </c>
      <c r="D33" s="349" t="s">
        <v>320</v>
      </c>
      <c r="E33" s="85" t="s">
        <v>1529</v>
      </c>
      <c r="F33" s="122">
        <v>412000</v>
      </c>
      <c r="G33" s="578" t="s">
        <v>23</v>
      </c>
      <c r="H33" s="578" t="s">
        <v>77</v>
      </c>
      <c r="I33" s="578">
        <v>1399</v>
      </c>
      <c r="J33" s="90" t="s">
        <v>25</v>
      </c>
      <c r="K33" s="60">
        <v>1</v>
      </c>
      <c r="L33" s="90"/>
      <c r="M33" s="349" t="s">
        <v>33</v>
      </c>
      <c r="N33" s="85"/>
      <c r="O33" s="90"/>
      <c r="P33" s="578"/>
    </row>
    <row r="34" spans="1:16" s="5" customFormat="1" ht="72">
      <c r="A34" s="82">
        <v>28</v>
      </c>
      <c r="B34" s="6" t="s">
        <v>75</v>
      </c>
      <c r="C34" s="354" t="s">
        <v>1591</v>
      </c>
      <c r="D34" s="349" t="s">
        <v>320</v>
      </c>
      <c r="E34" s="85" t="s">
        <v>1530</v>
      </c>
      <c r="F34" s="122">
        <v>2236000</v>
      </c>
      <c r="G34" s="578" t="s">
        <v>23</v>
      </c>
      <c r="H34" s="578" t="s">
        <v>77</v>
      </c>
      <c r="I34" s="578">
        <v>1399</v>
      </c>
      <c r="J34" s="90" t="s">
        <v>25</v>
      </c>
      <c r="K34" s="60">
        <v>1</v>
      </c>
      <c r="L34" s="90"/>
      <c r="M34" s="349" t="s">
        <v>33</v>
      </c>
      <c r="N34" s="85"/>
      <c r="O34" s="90"/>
      <c r="P34" s="578"/>
    </row>
    <row r="35" spans="1:16" s="5" customFormat="1" ht="72">
      <c r="A35" s="82">
        <v>29</v>
      </c>
      <c r="B35" s="6" t="s">
        <v>75</v>
      </c>
      <c r="C35" s="354" t="s">
        <v>1591</v>
      </c>
      <c r="D35" s="349" t="s">
        <v>320</v>
      </c>
      <c r="E35" s="85" t="s">
        <v>1531</v>
      </c>
      <c r="F35" s="122">
        <v>1000000</v>
      </c>
      <c r="G35" s="578" t="s">
        <v>23</v>
      </c>
      <c r="H35" s="578" t="s">
        <v>77</v>
      </c>
      <c r="I35" s="578">
        <v>1399</v>
      </c>
      <c r="J35" s="90" t="s">
        <v>25</v>
      </c>
      <c r="K35" s="60">
        <v>1</v>
      </c>
      <c r="L35" s="90"/>
      <c r="M35" s="349" t="s">
        <v>33</v>
      </c>
      <c r="N35" s="85"/>
      <c r="O35" s="90"/>
      <c r="P35" s="578"/>
    </row>
    <row r="36" spans="1:16" s="5" customFormat="1" ht="72">
      <c r="A36" s="82">
        <v>30</v>
      </c>
      <c r="B36" s="6" t="s">
        <v>75</v>
      </c>
      <c r="C36" s="354" t="s">
        <v>1591</v>
      </c>
      <c r="D36" s="349" t="s">
        <v>320</v>
      </c>
      <c r="E36" s="85" t="s">
        <v>1532</v>
      </c>
      <c r="F36" s="122">
        <v>1538000</v>
      </c>
      <c r="G36" s="578" t="s">
        <v>23</v>
      </c>
      <c r="H36" s="578" t="s">
        <v>77</v>
      </c>
      <c r="I36" s="578">
        <v>1399</v>
      </c>
      <c r="J36" s="90" t="s">
        <v>25</v>
      </c>
      <c r="K36" s="60">
        <v>1</v>
      </c>
      <c r="L36" s="90"/>
      <c r="M36" s="349" t="s">
        <v>33</v>
      </c>
      <c r="N36" s="85"/>
      <c r="O36" s="90"/>
      <c r="P36" s="578"/>
    </row>
    <row r="37" spans="1:16" s="5" customFormat="1" ht="54">
      <c r="A37" s="82">
        <v>31</v>
      </c>
      <c r="B37" s="6" t="s">
        <v>75</v>
      </c>
      <c r="C37" s="354" t="s">
        <v>1591</v>
      </c>
      <c r="D37" s="349" t="s">
        <v>320</v>
      </c>
      <c r="E37" s="85" t="s">
        <v>322</v>
      </c>
      <c r="F37" s="122">
        <v>72000</v>
      </c>
      <c r="G37" s="578" t="s">
        <v>23</v>
      </c>
      <c r="H37" s="578" t="s">
        <v>77</v>
      </c>
      <c r="I37" s="578">
        <v>1399</v>
      </c>
      <c r="J37" s="90" t="s">
        <v>25</v>
      </c>
      <c r="K37" s="60">
        <v>1</v>
      </c>
      <c r="L37" s="90"/>
      <c r="M37" s="349" t="s">
        <v>33</v>
      </c>
      <c r="N37" s="85"/>
      <c r="O37" s="90"/>
      <c r="P37" s="578"/>
    </row>
    <row r="38" spans="1:16" s="59" customFormat="1" ht="57" customHeight="1">
      <c r="A38" s="82">
        <v>32</v>
      </c>
      <c r="B38" s="6" t="s">
        <v>75</v>
      </c>
      <c r="C38" s="20"/>
      <c r="D38" s="41" t="s">
        <v>21</v>
      </c>
      <c r="E38" s="85" t="s">
        <v>284</v>
      </c>
      <c r="F38" s="122">
        <v>29400300</v>
      </c>
      <c r="G38" s="78" t="s">
        <v>23</v>
      </c>
      <c r="H38" s="78" t="s">
        <v>77</v>
      </c>
      <c r="I38" s="78">
        <v>1399</v>
      </c>
      <c r="J38" s="90" t="s">
        <v>25</v>
      </c>
      <c r="K38" s="60">
        <v>1</v>
      </c>
      <c r="L38" s="90"/>
      <c r="M38" s="349" t="s">
        <v>33</v>
      </c>
      <c r="N38" s="85"/>
      <c r="O38" s="41"/>
      <c r="P38" s="124"/>
    </row>
    <row r="39" spans="1:16" s="59" customFormat="1" ht="48" customHeight="1">
      <c r="A39" s="82">
        <v>33</v>
      </c>
      <c r="B39" s="6" t="s">
        <v>75</v>
      </c>
      <c r="C39" s="20"/>
      <c r="D39" s="41" t="s">
        <v>21</v>
      </c>
      <c r="E39" s="85" t="s">
        <v>26</v>
      </c>
      <c r="F39" s="122">
        <v>202500</v>
      </c>
      <c r="G39" s="78" t="s">
        <v>23</v>
      </c>
      <c r="H39" s="78" t="s">
        <v>77</v>
      </c>
      <c r="I39" s="78">
        <v>1399</v>
      </c>
      <c r="J39" s="90" t="s">
        <v>25</v>
      </c>
      <c r="K39" s="60">
        <v>1</v>
      </c>
      <c r="L39" s="90"/>
      <c r="M39" s="349" t="s">
        <v>33</v>
      </c>
      <c r="N39" s="85"/>
      <c r="O39" s="41"/>
      <c r="P39" s="124"/>
    </row>
    <row r="40" spans="1:16" s="59" customFormat="1" ht="49.15" customHeight="1">
      <c r="A40" s="82">
        <v>34</v>
      </c>
      <c r="B40" s="6" t="s">
        <v>75</v>
      </c>
      <c r="C40" s="20"/>
      <c r="D40" s="41" t="s">
        <v>21</v>
      </c>
      <c r="E40" s="85" t="s">
        <v>27</v>
      </c>
      <c r="F40" s="122">
        <v>30000</v>
      </c>
      <c r="G40" s="78" t="s">
        <v>23</v>
      </c>
      <c r="H40" s="78" t="s">
        <v>77</v>
      </c>
      <c r="I40" s="78">
        <v>1399</v>
      </c>
      <c r="J40" s="90" t="s">
        <v>25</v>
      </c>
      <c r="K40" s="60">
        <v>1</v>
      </c>
      <c r="L40" s="125"/>
      <c r="M40" s="349" t="s">
        <v>33</v>
      </c>
      <c r="N40" s="85"/>
      <c r="O40" s="41"/>
      <c r="P40" s="124"/>
    </row>
    <row r="41" spans="1:16" s="59" customFormat="1" ht="51.6" customHeight="1">
      <c r="A41" s="82">
        <v>35</v>
      </c>
      <c r="B41" s="6" t="s">
        <v>75</v>
      </c>
      <c r="C41" s="20"/>
      <c r="D41" s="41" t="s">
        <v>28</v>
      </c>
      <c r="E41" s="85" t="s">
        <v>285</v>
      </c>
      <c r="F41" s="122">
        <v>21000000</v>
      </c>
      <c r="G41" s="78" t="s">
        <v>23</v>
      </c>
      <c r="H41" s="78" t="s">
        <v>77</v>
      </c>
      <c r="I41" s="78">
        <v>1399</v>
      </c>
      <c r="J41" s="90" t="s">
        <v>25</v>
      </c>
      <c r="K41" s="60">
        <v>1</v>
      </c>
      <c r="L41" s="41"/>
      <c r="M41" s="349" t="s">
        <v>33</v>
      </c>
      <c r="N41" s="90"/>
      <c r="O41" s="41"/>
      <c r="P41" s="126" t="s">
        <v>17</v>
      </c>
    </row>
    <row r="42" spans="1:16" s="59" customFormat="1" ht="108">
      <c r="A42" s="82">
        <v>36</v>
      </c>
      <c r="B42" s="6" t="s">
        <v>75</v>
      </c>
      <c r="C42" s="20"/>
      <c r="D42" s="41" t="s">
        <v>28</v>
      </c>
      <c r="E42" s="85" t="s">
        <v>286</v>
      </c>
      <c r="F42" s="122">
        <v>202500</v>
      </c>
      <c r="G42" s="78" t="s">
        <v>23</v>
      </c>
      <c r="H42" s="78" t="s">
        <v>77</v>
      </c>
      <c r="I42" s="78">
        <v>1399</v>
      </c>
      <c r="J42" s="90" t="s">
        <v>25</v>
      </c>
      <c r="K42" s="60">
        <v>1</v>
      </c>
      <c r="L42" s="125"/>
      <c r="M42" s="349" t="s">
        <v>33</v>
      </c>
      <c r="N42" s="85"/>
      <c r="O42" s="41"/>
      <c r="P42" s="85"/>
    </row>
    <row r="43" spans="1:16" s="59" customFormat="1" ht="108">
      <c r="A43" s="82">
        <v>37</v>
      </c>
      <c r="B43" s="6" t="s">
        <v>75</v>
      </c>
      <c r="C43" s="20"/>
      <c r="D43" s="41" t="s">
        <v>28</v>
      </c>
      <c r="E43" s="85" t="s">
        <v>30</v>
      </c>
      <c r="F43" s="122">
        <v>83000</v>
      </c>
      <c r="G43" s="78" t="s">
        <v>23</v>
      </c>
      <c r="H43" s="78" t="s">
        <v>77</v>
      </c>
      <c r="I43" s="78">
        <v>1399</v>
      </c>
      <c r="J43" s="90" t="s">
        <v>25</v>
      </c>
      <c r="K43" s="60">
        <v>1</v>
      </c>
      <c r="L43" s="125"/>
      <c r="M43" s="349" t="s">
        <v>33</v>
      </c>
      <c r="N43" s="85"/>
      <c r="O43" s="41"/>
      <c r="P43" s="85"/>
    </row>
    <row r="44" spans="1:16" s="59" customFormat="1" ht="99.75" customHeight="1">
      <c r="A44" s="82">
        <v>38</v>
      </c>
      <c r="B44" s="6" t="s">
        <v>75</v>
      </c>
      <c r="C44" s="20"/>
      <c r="D44" s="41" t="s">
        <v>31</v>
      </c>
      <c r="E44" s="85" t="s">
        <v>32</v>
      </c>
      <c r="F44" s="122">
        <v>441960</v>
      </c>
      <c r="G44" s="78" t="s">
        <v>23</v>
      </c>
      <c r="H44" s="78" t="s">
        <v>77</v>
      </c>
      <c r="I44" s="78">
        <v>1399</v>
      </c>
      <c r="J44" s="90" t="s">
        <v>25</v>
      </c>
      <c r="K44" s="60">
        <v>1</v>
      </c>
      <c r="L44" s="125"/>
      <c r="M44" s="349" t="s">
        <v>33</v>
      </c>
      <c r="N44" s="85"/>
      <c r="O44" s="124"/>
      <c r="P44" s="124"/>
    </row>
    <row r="45" spans="1:16" s="26" customFormat="1" ht="77.25" customHeight="1">
      <c r="A45" s="82">
        <v>39</v>
      </c>
      <c r="B45" s="6" t="s">
        <v>75</v>
      </c>
      <c r="C45" s="20"/>
      <c r="D45" s="41" t="s">
        <v>31</v>
      </c>
      <c r="E45" s="85" t="s">
        <v>287</v>
      </c>
      <c r="F45" s="122">
        <v>502773</v>
      </c>
      <c r="G45" s="78" t="s">
        <v>23</v>
      </c>
      <c r="H45" s="78" t="s">
        <v>77</v>
      </c>
      <c r="I45" s="78">
        <v>1399</v>
      </c>
      <c r="J45" s="90" t="s">
        <v>25</v>
      </c>
      <c r="K45" s="60">
        <v>1</v>
      </c>
      <c r="L45" s="125"/>
      <c r="M45" s="349" t="s">
        <v>33</v>
      </c>
      <c r="N45" s="85"/>
      <c r="O45" s="124"/>
      <c r="P45" s="124"/>
    </row>
    <row r="46" spans="1:16" s="59" customFormat="1" ht="72">
      <c r="A46" s="82">
        <v>40</v>
      </c>
      <c r="B46" s="6" t="s">
        <v>75</v>
      </c>
      <c r="C46" s="20"/>
      <c r="D46" s="41" t="s">
        <v>31</v>
      </c>
      <c r="E46" s="85" t="s">
        <v>288</v>
      </c>
      <c r="F46" s="122">
        <f>3*500000</f>
        <v>1500000</v>
      </c>
      <c r="G46" s="78" t="s">
        <v>23</v>
      </c>
      <c r="H46" s="78" t="s">
        <v>77</v>
      </c>
      <c r="I46" s="78">
        <v>1399</v>
      </c>
      <c r="J46" s="90" t="s">
        <v>25</v>
      </c>
      <c r="K46" s="123"/>
      <c r="L46" s="125" t="s">
        <v>3</v>
      </c>
      <c r="M46" s="41"/>
      <c r="N46" s="85" t="s">
        <v>289</v>
      </c>
      <c r="O46" s="124" t="s">
        <v>290</v>
      </c>
      <c r="P46" s="124"/>
    </row>
    <row r="47" spans="1:16" s="59" customFormat="1" ht="72">
      <c r="A47" s="82">
        <v>41</v>
      </c>
      <c r="B47" s="6" t="s">
        <v>75</v>
      </c>
      <c r="C47" s="20"/>
      <c r="D47" s="41" t="s">
        <v>31</v>
      </c>
      <c r="E47" s="85" t="s">
        <v>37</v>
      </c>
      <c r="F47" s="122">
        <v>100000</v>
      </c>
      <c r="G47" s="78" t="s">
        <v>23</v>
      </c>
      <c r="H47" s="78" t="s">
        <v>77</v>
      </c>
      <c r="I47" s="78">
        <v>1399</v>
      </c>
      <c r="J47" s="90" t="s">
        <v>25</v>
      </c>
      <c r="K47" s="123"/>
      <c r="L47" s="125" t="s">
        <v>3</v>
      </c>
      <c r="M47" s="41"/>
      <c r="N47" s="85" t="s">
        <v>291</v>
      </c>
      <c r="O47" s="124" t="s">
        <v>290</v>
      </c>
      <c r="P47" s="124"/>
    </row>
    <row r="48" spans="1:16" s="59" customFormat="1" ht="54">
      <c r="A48" s="82">
        <v>42</v>
      </c>
      <c r="B48" s="6" t="s">
        <v>75</v>
      </c>
      <c r="C48" s="20"/>
      <c r="D48" s="41" t="s">
        <v>31</v>
      </c>
      <c r="E48" s="85" t="s">
        <v>38</v>
      </c>
      <c r="F48" s="122">
        <v>250000</v>
      </c>
      <c r="G48" s="78" t="s">
        <v>23</v>
      </c>
      <c r="H48" s="78" t="s">
        <v>77</v>
      </c>
      <c r="I48" s="78">
        <v>1399</v>
      </c>
      <c r="J48" s="90" t="s">
        <v>25</v>
      </c>
      <c r="K48" s="123">
        <v>1</v>
      </c>
      <c r="L48" s="125"/>
      <c r="M48" s="349" t="s">
        <v>33</v>
      </c>
      <c r="N48" s="85" t="s">
        <v>17</v>
      </c>
      <c r="O48" s="124"/>
      <c r="P48" s="124"/>
    </row>
    <row r="49" spans="1:16" s="23" customFormat="1" ht="42.75" customHeight="1">
      <c r="A49" s="82">
        <v>43</v>
      </c>
      <c r="B49" s="6" t="s">
        <v>75</v>
      </c>
      <c r="C49" s="20"/>
      <c r="D49" s="41" t="s">
        <v>40</v>
      </c>
      <c r="E49" s="85" t="s">
        <v>101</v>
      </c>
      <c r="F49" s="122">
        <f>3*1413600</f>
        <v>4240800</v>
      </c>
      <c r="G49" s="78" t="s">
        <v>23</v>
      </c>
      <c r="H49" s="78" t="s">
        <v>41</v>
      </c>
      <c r="I49" s="78">
        <v>1399</v>
      </c>
      <c r="J49" s="90" t="s">
        <v>25</v>
      </c>
      <c r="K49" s="123">
        <v>1</v>
      </c>
      <c r="L49" s="125"/>
      <c r="M49" s="41" t="s">
        <v>33</v>
      </c>
      <c r="N49" s="85"/>
      <c r="O49" s="119"/>
      <c r="P49" s="85"/>
    </row>
    <row r="50" spans="1:16" s="23" customFormat="1" ht="54">
      <c r="A50" s="82">
        <v>44</v>
      </c>
      <c r="B50" s="6" t="s">
        <v>75</v>
      </c>
      <c r="C50" s="20"/>
      <c r="D50" s="41" t="s">
        <v>40</v>
      </c>
      <c r="E50" s="85" t="s">
        <v>292</v>
      </c>
      <c r="F50" s="122">
        <f>200* 58032</f>
        <v>11606400</v>
      </c>
      <c r="G50" s="78" t="s">
        <v>23</v>
      </c>
      <c r="H50" s="78" t="s">
        <v>41</v>
      </c>
      <c r="I50" s="78">
        <v>1399</v>
      </c>
      <c r="J50" s="90" t="s">
        <v>25</v>
      </c>
      <c r="K50" s="123">
        <v>1</v>
      </c>
      <c r="L50" s="125"/>
      <c r="M50" s="41" t="s">
        <v>33</v>
      </c>
      <c r="N50" s="85"/>
      <c r="O50" s="124"/>
      <c r="P50" s="85"/>
    </row>
    <row r="51" spans="1:16" s="23" customFormat="1" ht="126">
      <c r="A51" s="82">
        <v>45</v>
      </c>
      <c r="B51" s="6" t="s">
        <v>75</v>
      </c>
      <c r="C51" s="20"/>
      <c r="D51" s="41" t="s">
        <v>40</v>
      </c>
      <c r="E51" s="85" t="s">
        <v>148</v>
      </c>
      <c r="F51" s="127" t="s">
        <v>17</v>
      </c>
      <c r="G51" s="78" t="s">
        <v>17</v>
      </c>
      <c r="H51" s="78" t="s">
        <v>17</v>
      </c>
      <c r="I51" s="78">
        <v>1399</v>
      </c>
      <c r="J51" s="90" t="s">
        <v>25</v>
      </c>
      <c r="K51" s="123">
        <v>1</v>
      </c>
      <c r="L51" s="125"/>
      <c r="M51" s="41" t="s">
        <v>328</v>
      </c>
      <c r="N51" s="85"/>
      <c r="O51" s="128"/>
      <c r="P51" s="85" t="s">
        <v>324</v>
      </c>
    </row>
    <row r="52" spans="1:16" s="23" customFormat="1" ht="54">
      <c r="A52" s="82">
        <v>46</v>
      </c>
      <c r="B52" s="6" t="s">
        <v>75</v>
      </c>
      <c r="C52" s="20"/>
      <c r="D52" s="41" t="s">
        <v>40</v>
      </c>
      <c r="E52" s="85" t="s">
        <v>293</v>
      </c>
      <c r="F52" s="122">
        <f>4* 848904</f>
        <v>3395616</v>
      </c>
      <c r="G52" s="78" t="s">
        <v>23</v>
      </c>
      <c r="H52" s="78" t="s">
        <v>41</v>
      </c>
      <c r="I52" s="78">
        <v>1399</v>
      </c>
      <c r="J52" s="90" t="s">
        <v>25</v>
      </c>
      <c r="K52" s="123">
        <v>1</v>
      </c>
      <c r="L52" s="125"/>
      <c r="M52" s="41" t="s">
        <v>33</v>
      </c>
      <c r="N52" s="85"/>
      <c r="O52" s="119"/>
      <c r="P52" s="85"/>
    </row>
    <row r="53" spans="1:16" s="23" customFormat="1" ht="126">
      <c r="A53" s="82">
        <v>47</v>
      </c>
      <c r="B53" s="6" t="s">
        <v>75</v>
      </c>
      <c r="C53" s="20"/>
      <c r="D53" s="41" t="s">
        <v>40</v>
      </c>
      <c r="E53" s="120" t="s">
        <v>269</v>
      </c>
      <c r="F53" s="122">
        <f>3* 102300</f>
        <v>306900</v>
      </c>
      <c r="G53" s="78" t="s">
        <v>23</v>
      </c>
      <c r="H53" s="78" t="s">
        <v>41</v>
      </c>
      <c r="I53" s="78">
        <v>1399</v>
      </c>
      <c r="J53" s="90" t="s">
        <v>25</v>
      </c>
      <c r="K53" s="123">
        <v>1</v>
      </c>
      <c r="L53" s="125" t="s">
        <v>947</v>
      </c>
      <c r="M53" s="349" t="s">
        <v>33</v>
      </c>
      <c r="N53" s="90" t="s">
        <v>325</v>
      </c>
      <c r="O53" s="22" t="s">
        <v>972</v>
      </c>
      <c r="P53" s="85"/>
    </row>
    <row r="54" spans="1:16" s="23" customFormat="1" ht="126">
      <c r="A54" s="82">
        <v>48</v>
      </c>
      <c r="B54" s="6" t="s">
        <v>75</v>
      </c>
      <c r="C54" s="20"/>
      <c r="D54" s="41" t="s">
        <v>40</v>
      </c>
      <c r="E54" s="120" t="s">
        <v>160</v>
      </c>
      <c r="F54" s="124">
        <f>5*68634</f>
        <v>343170</v>
      </c>
      <c r="G54" s="78" t="s">
        <v>23</v>
      </c>
      <c r="H54" s="78" t="s">
        <v>41</v>
      </c>
      <c r="I54" s="78">
        <v>1399</v>
      </c>
      <c r="J54" s="90" t="s">
        <v>25</v>
      </c>
      <c r="K54" s="123">
        <v>1</v>
      </c>
      <c r="L54" s="125" t="s">
        <v>947</v>
      </c>
      <c r="M54" s="349" t="s">
        <v>33</v>
      </c>
      <c r="N54" s="90" t="s">
        <v>325</v>
      </c>
      <c r="O54" s="22" t="s">
        <v>972</v>
      </c>
      <c r="P54" s="85"/>
    </row>
    <row r="55" spans="1:16" s="23" customFormat="1" ht="126">
      <c r="A55" s="82">
        <v>49</v>
      </c>
      <c r="B55" s="6" t="s">
        <v>75</v>
      </c>
      <c r="C55" s="20"/>
      <c r="D55" s="41" t="s">
        <v>40</v>
      </c>
      <c r="E55" s="85" t="s">
        <v>85</v>
      </c>
      <c r="F55" s="122">
        <f>3* 304452</f>
        <v>913356</v>
      </c>
      <c r="G55" s="78" t="s">
        <v>23</v>
      </c>
      <c r="H55" s="78" t="s">
        <v>41</v>
      </c>
      <c r="I55" s="78">
        <v>1399</v>
      </c>
      <c r="J55" s="90" t="s">
        <v>25</v>
      </c>
      <c r="K55" s="123">
        <v>1</v>
      </c>
      <c r="L55" s="125" t="s">
        <v>947</v>
      </c>
      <c r="M55" s="349" t="s">
        <v>33</v>
      </c>
      <c r="N55" s="90" t="s">
        <v>325</v>
      </c>
      <c r="O55" s="22" t="s">
        <v>972</v>
      </c>
      <c r="P55" s="85"/>
    </row>
    <row r="56" spans="1:16" s="23" customFormat="1" ht="84.6" customHeight="1">
      <c r="A56" s="82">
        <v>50</v>
      </c>
      <c r="B56" s="6" t="s">
        <v>75</v>
      </c>
      <c r="C56" s="20"/>
      <c r="D56" s="41" t="s">
        <v>40</v>
      </c>
      <c r="E56" s="85" t="s">
        <v>294</v>
      </c>
      <c r="F56" s="122">
        <f>150* 404438</f>
        <v>60665700</v>
      </c>
      <c r="G56" s="78" t="s">
        <v>23</v>
      </c>
      <c r="H56" s="78" t="s">
        <v>41</v>
      </c>
      <c r="I56" s="78">
        <v>1399</v>
      </c>
      <c r="J56" s="90" t="s">
        <v>25</v>
      </c>
      <c r="K56" s="123">
        <v>1</v>
      </c>
      <c r="L56" s="125" t="s">
        <v>947</v>
      </c>
      <c r="M56" s="349" t="s">
        <v>33</v>
      </c>
      <c r="N56" s="90" t="s">
        <v>325</v>
      </c>
      <c r="O56" s="22" t="s">
        <v>972</v>
      </c>
      <c r="P56" s="85"/>
    </row>
    <row r="57" spans="1:16" s="23" customFormat="1" ht="54">
      <c r="A57" s="82">
        <v>51</v>
      </c>
      <c r="B57" s="6" t="s">
        <v>75</v>
      </c>
      <c r="C57" s="20"/>
      <c r="D57" s="41" t="s">
        <v>40</v>
      </c>
      <c r="E57" s="85" t="s">
        <v>295</v>
      </c>
      <c r="F57" s="122">
        <f>1620* 148</f>
        <v>239760</v>
      </c>
      <c r="G57" s="78" t="s">
        <v>23</v>
      </c>
      <c r="H57" s="78" t="s">
        <v>41</v>
      </c>
      <c r="I57" s="78">
        <v>1399</v>
      </c>
      <c r="J57" s="90" t="s">
        <v>25</v>
      </c>
      <c r="K57" s="123">
        <v>1</v>
      </c>
      <c r="L57" s="125"/>
      <c r="M57" s="349" t="s">
        <v>33</v>
      </c>
      <c r="N57" s="85"/>
      <c r="O57" s="124"/>
      <c r="P57" s="85"/>
    </row>
    <row r="58" spans="1:16" s="23" customFormat="1" ht="126">
      <c r="A58" s="82">
        <v>52</v>
      </c>
      <c r="B58" s="6" t="s">
        <v>75</v>
      </c>
      <c r="C58" s="20"/>
      <c r="D58" s="41" t="s">
        <v>40</v>
      </c>
      <c r="E58" s="85" t="s">
        <v>166</v>
      </c>
      <c r="F58" s="122">
        <f>3*375000</f>
        <v>1125000</v>
      </c>
      <c r="G58" s="78" t="s">
        <v>23</v>
      </c>
      <c r="H58" s="78" t="s">
        <v>41</v>
      </c>
      <c r="I58" s="78">
        <v>1399</v>
      </c>
      <c r="J58" s="90" t="s">
        <v>25</v>
      </c>
      <c r="K58" s="123">
        <v>1</v>
      </c>
      <c r="L58" s="125" t="s">
        <v>947</v>
      </c>
      <c r="M58" s="349" t="s">
        <v>33</v>
      </c>
      <c r="N58" s="90" t="s">
        <v>325</v>
      </c>
      <c r="O58" s="22" t="s">
        <v>972</v>
      </c>
      <c r="P58" s="85"/>
    </row>
    <row r="59" spans="1:16" s="23" customFormat="1" ht="54">
      <c r="A59" s="82">
        <v>53</v>
      </c>
      <c r="B59" s="6" t="s">
        <v>75</v>
      </c>
      <c r="C59" s="20"/>
      <c r="D59" s="41" t="s">
        <v>40</v>
      </c>
      <c r="E59" s="85" t="s">
        <v>102</v>
      </c>
      <c r="F59" s="122">
        <v>372000</v>
      </c>
      <c r="G59" s="78" t="s">
        <v>23</v>
      </c>
      <c r="H59" s="78" t="s">
        <v>41</v>
      </c>
      <c r="I59" s="78">
        <v>1399</v>
      </c>
      <c r="J59" s="90" t="s">
        <v>25</v>
      </c>
      <c r="K59" s="123">
        <v>1</v>
      </c>
      <c r="L59" s="125"/>
      <c r="M59" s="41" t="s">
        <v>33</v>
      </c>
      <c r="N59" s="85"/>
      <c r="O59" s="124"/>
      <c r="P59" s="85"/>
    </row>
    <row r="60" spans="1:16" s="23" customFormat="1" ht="54">
      <c r="A60" s="82">
        <v>54</v>
      </c>
      <c r="B60" s="6" t="s">
        <v>75</v>
      </c>
      <c r="C60" s="20"/>
      <c r="D60" s="41" t="s">
        <v>40</v>
      </c>
      <c r="E60" s="85" t="s">
        <v>296</v>
      </c>
      <c r="F60" s="122">
        <f>36* 22320</f>
        <v>803520</v>
      </c>
      <c r="G60" s="78" t="s">
        <v>23</v>
      </c>
      <c r="H60" s="78" t="s">
        <v>41</v>
      </c>
      <c r="I60" s="78">
        <v>1399</v>
      </c>
      <c r="J60" s="90" t="s">
        <v>25</v>
      </c>
      <c r="K60" s="123">
        <v>1</v>
      </c>
      <c r="L60" s="125"/>
      <c r="M60" s="41" t="s">
        <v>33</v>
      </c>
      <c r="N60" s="85"/>
      <c r="O60" s="124"/>
      <c r="P60" s="85"/>
    </row>
    <row r="61" spans="1:16" s="23" customFormat="1" ht="54">
      <c r="A61" s="82">
        <v>55</v>
      </c>
      <c r="B61" s="6" t="s">
        <v>75</v>
      </c>
      <c r="C61" s="20"/>
      <c r="D61" s="41" t="s">
        <v>40</v>
      </c>
      <c r="E61" s="85" t="s">
        <v>186</v>
      </c>
      <c r="F61" s="122">
        <f>4* 297600</f>
        <v>1190400</v>
      </c>
      <c r="G61" s="78" t="s">
        <v>23</v>
      </c>
      <c r="H61" s="78" t="s">
        <v>41</v>
      </c>
      <c r="I61" s="78">
        <v>1399</v>
      </c>
      <c r="J61" s="90" t="s">
        <v>25</v>
      </c>
      <c r="K61" s="123">
        <v>1</v>
      </c>
      <c r="L61" s="125"/>
      <c r="M61" s="41" t="s">
        <v>33</v>
      </c>
      <c r="N61" s="85"/>
      <c r="O61" s="124"/>
      <c r="P61" s="85"/>
    </row>
    <row r="62" spans="1:16" s="23" customFormat="1" ht="54">
      <c r="A62" s="82">
        <v>56</v>
      </c>
      <c r="B62" s="6" t="s">
        <v>75</v>
      </c>
      <c r="C62" s="20"/>
      <c r="D62" s="41" t="s">
        <v>40</v>
      </c>
      <c r="E62" s="85" t="s">
        <v>204</v>
      </c>
      <c r="F62" s="122">
        <f>100*3645</f>
        <v>364500</v>
      </c>
      <c r="G62" s="78" t="s">
        <v>23</v>
      </c>
      <c r="H62" s="78" t="s">
        <v>41</v>
      </c>
      <c r="I62" s="78">
        <v>1399</v>
      </c>
      <c r="J62" s="90" t="s">
        <v>25</v>
      </c>
      <c r="K62" s="123">
        <v>1</v>
      </c>
      <c r="L62" s="125"/>
      <c r="M62" s="41" t="s">
        <v>33</v>
      </c>
      <c r="N62" s="85"/>
      <c r="O62" s="124"/>
      <c r="P62" s="85"/>
    </row>
    <row r="63" spans="1:16" s="23" customFormat="1" ht="54">
      <c r="A63" s="82">
        <v>57</v>
      </c>
      <c r="B63" s="6" t="s">
        <v>75</v>
      </c>
      <c r="C63" s="20"/>
      <c r="D63" s="41" t="s">
        <v>40</v>
      </c>
      <c r="E63" s="85" t="s">
        <v>88</v>
      </c>
      <c r="F63" s="122">
        <f>5* 44640</f>
        <v>223200</v>
      </c>
      <c r="G63" s="78" t="s">
        <v>23</v>
      </c>
      <c r="H63" s="78" t="s">
        <v>41</v>
      </c>
      <c r="I63" s="78">
        <v>1399</v>
      </c>
      <c r="J63" s="90" t="s">
        <v>25</v>
      </c>
      <c r="K63" s="123">
        <v>1</v>
      </c>
      <c r="L63" s="125"/>
      <c r="M63" s="41" t="s">
        <v>33</v>
      </c>
      <c r="N63" s="85"/>
      <c r="O63" s="124"/>
      <c r="P63" s="85"/>
    </row>
    <row r="64" spans="1:16" s="23" customFormat="1" ht="126">
      <c r="A64" s="82">
        <v>58</v>
      </c>
      <c r="B64" s="6" t="s">
        <v>75</v>
      </c>
      <c r="C64" s="20"/>
      <c r="D64" s="41" t="s">
        <v>40</v>
      </c>
      <c r="E64" s="85" t="s">
        <v>297</v>
      </c>
      <c r="F64" s="122">
        <f>35* 52471</f>
        <v>1836485</v>
      </c>
      <c r="G64" s="78" t="s">
        <v>23</v>
      </c>
      <c r="H64" s="78" t="s">
        <v>41</v>
      </c>
      <c r="I64" s="78">
        <v>1399</v>
      </c>
      <c r="J64" s="90" t="s">
        <v>25</v>
      </c>
      <c r="K64" s="123">
        <v>1</v>
      </c>
      <c r="L64" s="125" t="s">
        <v>947</v>
      </c>
      <c r="M64" s="349" t="s">
        <v>33</v>
      </c>
      <c r="N64" s="90" t="s">
        <v>325</v>
      </c>
      <c r="O64" s="22" t="s">
        <v>972</v>
      </c>
      <c r="P64" s="85"/>
    </row>
    <row r="65" spans="1:16" s="23" customFormat="1" ht="54">
      <c r="A65" s="82">
        <v>59</v>
      </c>
      <c r="B65" s="6" t="s">
        <v>75</v>
      </c>
      <c r="C65" s="20"/>
      <c r="D65" s="41" t="s">
        <v>40</v>
      </c>
      <c r="E65" s="85" t="s">
        <v>253</v>
      </c>
      <c r="F65" s="122">
        <f>250* 1518</f>
        <v>379500</v>
      </c>
      <c r="G65" s="78" t="s">
        <v>23</v>
      </c>
      <c r="H65" s="78" t="s">
        <v>41</v>
      </c>
      <c r="I65" s="78">
        <v>1399</v>
      </c>
      <c r="J65" s="90" t="s">
        <v>25</v>
      </c>
      <c r="K65" s="123">
        <v>1</v>
      </c>
      <c r="L65" s="125"/>
      <c r="M65" s="349" t="s">
        <v>33</v>
      </c>
      <c r="N65" s="85"/>
      <c r="O65" s="124"/>
      <c r="P65" s="124"/>
    </row>
    <row r="66" spans="1:16" s="23" customFormat="1" ht="54">
      <c r="A66" s="82">
        <v>60</v>
      </c>
      <c r="B66" s="6" t="s">
        <v>75</v>
      </c>
      <c r="C66" s="20"/>
      <c r="D66" s="41" t="s">
        <v>40</v>
      </c>
      <c r="E66" s="85" t="s">
        <v>48</v>
      </c>
      <c r="F66" s="122">
        <f>2* 42514</f>
        <v>85028</v>
      </c>
      <c r="G66" s="78" t="s">
        <v>23</v>
      </c>
      <c r="H66" s="78" t="s">
        <v>41</v>
      </c>
      <c r="I66" s="78">
        <v>1399</v>
      </c>
      <c r="J66" s="90" t="s">
        <v>25</v>
      </c>
      <c r="K66" s="123">
        <v>1</v>
      </c>
      <c r="L66" s="125"/>
      <c r="M66" s="349" t="s">
        <v>33</v>
      </c>
      <c r="N66" s="85"/>
      <c r="O66" s="124"/>
      <c r="P66" s="85"/>
    </row>
    <row r="67" spans="1:16" s="23" customFormat="1" ht="54">
      <c r="A67" s="82">
        <v>61</v>
      </c>
      <c r="B67" s="6" t="s">
        <v>75</v>
      </c>
      <c r="C67" s="20"/>
      <c r="D67" s="41" t="s">
        <v>40</v>
      </c>
      <c r="E67" s="85" t="s">
        <v>49</v>
      </c>
      <c r="F67" s="122">
        <f>150*1041</f>
        <v>156150</v>
      </c>
      <c r="G67" s="78" t="s">
        <v>23</v>
      </c>
      <c r="H67" s="78" t="s">
        <v>41</v>
      </c>
      <c r="I67" s="78">
        <v>1399</v>
      </c>
      <c r="J67" s="90" t="s">
        <v>25</v>
      </c>
      <c r="K67" s="123">
        <v>1</v>
      </c>
      <c r="L67" s="125"/>
      <c r="M67" s="349" t="s">
        <v>33</v>
      </c>
      <c r="N67" s="85"/>
      <c r="O67" s="124"/>
      <c r="P67" s="85"/>
    </row>
    <row r="68" spans="1:16" s="23" customFormat="1" ht="54">
      <c r="A68" s="82">
        <v>62</v>
      </c>
      <c r="B68" s="6" t="s">
        <v>75</v>
      </c>
      <c r="C68" s="20"/>
      <c r="D68" s="41" t="s">
        <v>40</v>
      </c>
      <c r="E68" s="85" t="s">
        <v>167</v>
      </c>
      <c r="F68" s="122">
        <f>200* 729</f>
        <v>145800</v>
      </c>
      <c r="G68" s="78" t="s">
        <v>23</v>
      </c>
      <c r="H68" s="78" t="s">
        <v>41</v>
      </c>
      <c r="I68" s="78">
        <v>1399</v>
      </c>
      <c r="J68" s="90" t="s">
        <v>25</v>
      </c>
      <c r="K68" s="123">
        <v>1</v>
      </c>
      <c r="L68" s="125"/>
      <c r="M68" s="349" t="s">
        <v>33</v>
      </c>
      <c r="N68" s="85"/>
      <c r="O68" s="124"/>
      <c r="P68" s="85"/>
    </row>
    <row r="69" spans="1:16" s="23" customFormat="1" ht="54">
      <c r="A69" s="82">
        <v>63</v>
      </c>
      <c r="B69" s="6" t="s">
        <v>75</v>
      </c>
      <c r="C69" s="20"/>
      <c r="D69" s="41" t="s">
        <v>40</v>
      </c>
      <c r="E69" s="85" t="s">
        <v>103</v>
      </c>
      <c r="F69" s="122">
        <f>150*911</f>
        <v>136650</v>
      </c>
      <c r="G69" s="78" t="s">
        <v>23</v>
      </c>
      <c r="H69" s="78" t="s">
        <v>41</v>
      </c>
      <c r="I69" s="78">
        <v>1399</v>
      </c>
      <c r="J69" s="90" t="s">
        <v>25</v>
      </c>
      <c r="K69" s="123">
        <v>1</v>
      </c>
      <c r="L69" s="125"/>
      <c r="M69" s="349" t="s">
        <v>33</v>
      </c>
      <c r="N69" s="85"/>
      <c r="O69" s="124"/>
      <c r="P69" s="85"/>
    </row>
    <row r="70" spans="1:16" s="23" customFormat="1" ht="54">
      <c r="A70" s="82">
        <v>64</v>
      </c>
      <c r="B70" s="6" t="s">
        <v>75</v>
      </c>
      <c r="C70" s="20"/>
      <c r="D70" s="41" t="s">
        <v>40</v>
      </c>
      <c r="E70" s="85" t="s">
        <v>234</v>
      </c>
      <c r="F70" s="122">
        <f>500* 315</f>
        <v>157500</v>
      </c>
      <c r="G70" s="78" t="s">
        <v>23</v>
      </c>
      <c r="H70" s="78" t="s">
        <v>41</v>
      </c>
      <c r="I70" s="78">
        <v>1399</v>
      </c>
      <c r="J70" s="90" t="s">
        <v>25</v>
      </c>
      <c r="K70" s="123">
        <v>1</v>
      </c>
      <c r="L70" s="125"/>
      <c r="M70" s="349" t="s">
        <v>33</v>
      </c>
      <c r="N70" s="85"/>
      <c r="O70" s="124"/>
      <c r="P70" s="85"/>
    </row>
    <row r="71" spans="1:16" s="23" customFormat="1" ht="126">
      <c r="A71" s="82">
        <v>65</v>
      </c>
      <c r="B71" s="6" t="s">
        <v>75</v>
      </c>
      <c r="C71" s="20"/>
      <c r="D71" s="41" t="s">
        <v>40</v>
      </c>
      <c r="E71" s="85" t="s">
        <v>298</v>
      </c>
      <c r="F71" s="122">
        <f>3* 45570</f>
        <v>136710</v>
      </c>
      <c r="G71" s="78" t="s">
        <v>23</v>
      </c>
      <c r="H71" s="78" t="s">
        <v>41</v>
      </c>
      <c r="I71" s="78">
        <v>1399</v>
      </c>
      <c r="J71" s="90" t="s">
        <v>25</v>
      </c>
      <c r="K71" s="123">
        <v>1</v>
      </c>
      <c r="L71" s="125" t="s">
        <v>947</v>
      </c>
      <c r="M71" s="349" t="s">
        <v>33</v>
      </c>
      <c r="N71" s="90" t="s">
        <v>325</v>
      </c>
      <c r="O71" s="22" t="s">
        <v>972</v>
      </c>
      <c r="P71" s="124"/>
    </row>
    <row r="72" spans="1:16" s="23" customFormat="1" ht="126">
      <c r="A72" s="82">
        <v>66</v>
      </c>
      <c r="B72" s="6" t="s">
        <v>75</v>
      </c>
      <c r="C72" s="20"/>
      <c r="D72" s="41" t="s">
        <v>40</v>
      </c>
      <c r="E72" s="85" t="s">
        <v>51</v>
      </c>
      <c r="F72" s="122">
        <f>5* 10416</f>
        <v>52080</v>
      </c>
      <c r="G72" s="78" t="s">
        <v>23</v>
      </c>
      <c r="H72" s="78" t="s">
        <v>41</v>
      </c>
      <c r="I72" s="78">
        <v>1399</v>
      </c>
      <c r="J72" s="90" t="s">
        <v>25</v>
      </c>
      <c r="K72" s="123">
        <v>1</v>
      </c>
      <c r="L72" s="125" t="s">
        <v>947</v>
      </c>
      <c r="M72" s="349" t="s">
        <v>33</v>
      </c>
      <c r="N72" s="90" t="s">
        <v>325</v>
      </c>
      <c r="O72" s="22" t="s">
        <v>972</v>
      </c>
      <c r="P72" s="85"/>
    </row>
    <row r="73" spans="1:16" s="23" customFormat="1" ht="126">
      <c r="A73" s="82">
        <v>67</v>
      </c>
      <c r="B73" s="6" t="s">
        <v>75</v>
      </c>
      <c r="C73" s="20"/>
      <c r="D73" s="41" t="s">
        <v>40</v>
      </c>
      <c r="E73" s="85" t="s">
        <v>299</v>
      </c>
      <c r="F73" s="122">
        <f>200* 36456</f>
        <v>7291200</v>
      </c>
      <c r="G73" s="78" t="s">
        <v>23</v>
      </c>
      <c r="H73" s="78" t="s">
        <v>41</v>
      </c>
      <c r="I73" s="78">
        <v>1399</v>
      </c>
      <c r="J73" s="90" t="s">
        <v>25</v>
      </c>
      <c r="K73" s="123">
        <v>1</v>
      </c>
      <c r="L73" s="125" t="s">
        <v>947</v>
      </c>
      <c r="M73" s="349" t="s">
        <v>33</v>
      </c>
      <c r="N73" s="90" t="s">
        <v>325</v>
      </c>
      <c r="O73" s="22" t="s">
        <v>972</v>
      </c>
      <c r="P73" s="85"/>
    </row>
    <row r="74" spans="1:16" s="23" customFormat="1" ht="126">
      <c r="A74" s="82">
        <v>68</v>
      </c>
      <c r="B74" s="6" t="s">
        <v>75</v>
      </c>
      <c r="C74" s="20"/>
      <c r="D74" s="41" t="s">
        <v>40</v>
      </c>
      <c r="E74" s="85" t="s">
        <v>126</v>
      </c>
      <c r="F74" s="122">
        <f>4*396797</f>
        <v>1587188</v>
      </c>
      <c r="G74" s="78" t="s">
        <v>23</v>
      </c>
      <c r="H74" s="78" t="s">
        <v>41</v>
      </c>
      <c r="I74" s="78">
        <v>1399</v>
      </c>
      <c r="J74" s="90" t="s">
        <v>25</v>
      </c>
      <c r="K74" s="123">
        <v>1</v>
      </c>
      <c r="L74" s="125" t="s">
        <v>947</v>
      </c>
      <c r="M74" s="349" t="s">
        <v>33</v>
      </c>
      <c r="N74" s="90" t="s">
        <v>325</v>
      </c>
      <c r="O74" s="22" t="s">
        <v>972</v>
      </c>
      <c r="P74" s="124"/>
    </row>
    <row r="75" spans="1:16" s="23" customFormat="1" ht="72">
      <c r="A75" s="82">
        <v>69</v>
      </c>
      <c r="B75" s="6" t="s">
        <v>75</v>
      </c>
      <c r="C75" s="20"/>
      <c r="D75" s="41" t="s">
        <v>40</v>
      </c>
      <c r="E75" s="85" t="s">
        <v>300</v>
      </c>
      <c r="F75" s="122">
        <f>19*66000</f>
        <v>1254000</v>
      </c>
      <c r="G75" s="78" t="s">
        <v>23</v>
      </c>
      <c r="H75" s="78" t="s">
        <v>41</v>
      </c>
      <c r="I75" s="78">
        <v>1399</v>
      </c>
      <c r="J75" s="90" t="s">
        <v>25</v>
      </c>
      <c r="K75" s="123">
        <v>1</v>
      </c>
      <c r="L75" s="125"/>
      <c r="M75" s="349" t="s">
        <v>33</v>
      </c>
      <c r="N75" s="85"/>
      <c r="O75" s="124"/>
      <c r="P75" s="85"/>
    </row>
    <row r="76" spans="1:16" s="23" customFormat="1" ht="72">
      <c r="A76" s="82">
        <v>70</v>
      </c>
      <c r="B76" s="6" t="s">
        <v>75</v>
      </c>
      <c r="C76" s="20"/>
      <c r="D76" s="41" t="s">
        <v>40</v>
      </c>
      <c r="E76" s="85" t="s">
        <v>301</v>
      </c>
      <c r="F76" s="122">
        <f>38*30000</f>
        <v>1140000</v>
      </c>
      <c r="G76" s="78" t="s">
        <v>23</v>
      </c>
      <c r="H76" s="78" t="s">
        <v>41</v>
      </c>
      <c r="I76" s="78">
        <v>1399</v>
      </c>
      <c r="J76" s="90" t="s">
        <v>25</v>
      </c>
      <c r="K76" s="123">
        <v>1</v>
      </c>
      <c r="L76" s="125"/>
      <c r="M76" s="349" t="s">
        <v>33</v>
      </c>
      <c r="N76" s="85"/>
      <c r="O76" s="124"/>
      <c r="P76" s="85"/>
    </row>
    <row r="77" spans="1:16" s="23" customFormat="1" ht="54">
      <c r="A77" s="82">
        <v>71</v>
      </c>
      <c r="B77" s="6" t="s">
        <v>75</v>
      </c>
      <c r="C77" s="20" t="s">
        <v>302</v>
      </c>
      <c r="D77" s="85" t="s">
        <v>40</v>
      </c>
      <c r="E77" s="41" t="s">
        <v>140</v>
      </c>
      <c r="F77" s="122">
        <f>83077500/5</f>
        <v>16615500</v>
      </c>
      <c r="G77" s="86" t="s">
        <v>23</v>
      </c>
      <c r="H77" s="86" t="s">
        <v>77</v>
      </c>
      <c r="I77" s="86">
        <v>1400</v>
      </c>
      <c r="J77" s="86" t="s">
        <v>25</v>
      </c>
      <c r="K77" s="123">
        <v>1</v>
      </c>
      <c r="L77" s="85"/>
      <c r="M77" s="349" t="s">
        <v>33</v>
      </c>
      <c r="N77" s="85"/>
      <c r="O77" s="124"/>
      <c r="P77" s="85"/>
    </row>
    <row r="78" spans="1:16" s="23" customFormat="1" ht="126">
      <c r="A78" s="82">
        <v>72</v>
      </c>
      <c r="B78" s="6" t="s">
        <v>75</v>
      </c>
      <c r="C78" s="20"/>
      <c r="D78" s="41" t="s">
        <v>40</v>
      </c>
      <c r="E78" s="85" t="s">
        <v>303</v>
      </c>
      <c r="F78" s="122">
        <f>2470* 900</f>
        <v>2223000</v>
      </c>
      <c r="G78" s="78" t="s">
        <v>23</v>
      </c>
      <c r="H78" s="78" t="s">
        <v>41</v>
      </c>
      <c r="I78" s="78">
        <v>1399</v>
      </c>
      <c r="J78" s="90" t="s">
        <v>25</v>
      </c>
      <c r="K78" s="123">
        <v>1</v>
      </c>
      <c r="L78" s="125" t="s">
        <v>947</v>
      </c>
      <c r="M78" s="349" t="s">
        <v>33</v>
      </c>
      <c r="N78" s="90" t="s">
        <v>325</v>
      </c>
      <c r="O78" s="22" t="s">
        <v>972</v>
      </c>
      <c r="P78" s="85"/>
    </row>
    <row r="79" spans="1:16" s="23" customFormat="1" ht="297.75" customHeight="1">
      <c r="A79" s="82">
        <v>73</v>
      </c>
      <c r="B79" s="6" t="s">
        <v>75</v>
      </c>
      <c r="C79" s="20" t="s">
        <v>304</v>
      </c>
      <c r="D79" s="41" t="s">
        <v>55</v>
      </c>
      <c r="E79" s="41" t="s">
        <v>305</v>
      </c>
      <c r="F79" s="122">
        <v>1998800</v>
      </c>
      <c r="G79" s="78" t="s">
        <v>23</v>
      </c>
      <c r="H79" s="78" t="s">
        <v>77</v>
      </c>
      <c r="I79" s="78">
        <v>1399</v>
      </c>
      <c r="J79" s="90" t="s">
        <v>25</v>
      </c>
      <c r="K79" s="123">
        <v>1</v>
      </c>
      <c r="L79" s="125"/>
      <c r="M79" s="349" t="s">
        <v>33</v>
      </c>
      <c r="N79" s="85"/>
      <c r="O79" s="124"/>
      <c r="P79" s="124"/>
    </row>
    <row r="80" spans="1:16" s="23" customFormat="1" ht="36">
      <c r="A80" s="82">
        <v>74</v>
      </c>
      <c r="B80" s="6" t="s">
        <v>75</v>
      </c>
      <c r="C80" s="20"/>
      <c r="D80" s="41" t="s">
        <v>108</v>
      </c>
      <c r="E80" s="85" t="s">
        <v>265</v>
      </c>
      <c r="F80" s="122">
        <v>2132400</v>
      </c>
      <c r="G80" s="78" t="s">
        <v>23</v>
      </c>
      <c r="H80" s="78" t="s">
        <v>77</v>
      </c>
      <c r="I80" s="78">
        <v>1399</v>
      </c>
      <c r="J80" s="90" t="s">
        <v>25</v>
      </c>
      <c r="K80" s="123">
        <v>1</v>
      </c>
      <c r="L80" s="125"/>
      <c r="M80" s="349" t="s">
        <v>33</v>
      </c>
      <c r="N80" s="85"/>
      <c r="O80" s="124"/>
      <c r="P80" s="124"/>
    </row>
    <row r="81" spans="1:16" ht="54">
      <c r="A81" s="82">
        <v>75</v>
      </c>
      <c r="B81" s="6" t="s">
        <v>75</v>
      </c>
      <c r="C81" s="20"/>
      <c r="D81" s="41" t="s">
        <v>76</v>
      </c>
      <c r="E81" s="85" t="s">
        <v>306</v>
      </c>
      <c r="F81" s="129">
        <v>569160250</v>
      </c>
      <c r="G81" s="78" t="s">
        <v>23</v>
      </c>
      <c r="H81" s="90" t="s">
        <v>77</v>
      </c>
      <c r="I81" s="78">
        <v>1399</v>
      </c>
      <c r="J81" s="90" t="s">
        <v>25</v>
      </c>
      <c r="K81" s="123">
        <v>1</v>
      </c>
      <c r="L81" s="90"/>
      <c r="M81" s="349" t="s">
        <v>33</v>
      </c>
      <c r="N81" s="32"/>
      <c r="O81" s="32"/>
      <c r="P81" s="32"/>
    </row>
    <row r="82" spans="1:16" s="23" customFormat="1" ht="33.6" customHeight="1">
      <c r="A82" s="82">
        <v>76</v>
      </c>
      <c r="B82" s="6" t="s">
        <v>75</v>
      </c>
      <c r="C82" s="354"/>
      <c r="D82" s="349" t="s">
        <v>1067</v>
      </c>
      <c r="E82" s="85" t="s">
        <v>1068</v>
      </c>
      <c r="F82" s="122">
        <v>227910</v>
      </c>
      <c r="G82" s="351" t="s">
        <v>23</v>
      </c>
      <c r="H82" s="351" t="s">
        <v>77</v>
      </c>
      <c r="I82" s="351">
        <v>1399</v>
      </c>
      <c r="J82" s="90" t="s">
        <v>25</v>
      </c>
      <c r="K82" s="123">
        <v>1</v>
      </c>
      <c r="L82" s="485"/>
      <c r="M82" s="349" t="s">
        <v>33</v>
      </c>
      <c r="N82" s="486"/>
      <c r="O82" s="487"/>
      <c r="P82" s="124"/>
    </row>
    <row r="83" spans="1:16" s="23" customFormat="1" ht="54">
      <c r="A83" s="82">
        <v>77</v>
      </c>
      <c r="B83" s="6" t="s">
        <v>75</v>
      </c>
      <c r="C83" s="354"/>
      <c r="D83" s="349" t="s">
        <v>1067</v>
      </c>
      <c r="E83" s="85" t="s">
        <v>1069</v>
      </c>
      <c r="F83" s="122">
        <v>1256640</v>
      </c>
      <c r="G83" s="351" t="s">
        <v>23</v>
      </c>
      <c r="H83" s="351" t="s">
        <v>1070</v>
      </c>
      <c r="I83" s="351">
        <v>1399</v>
      </c>
      <c r="J83" s="90" t="s">
        <v>25</v>
      </c>
      <c r="K83" s="123">
        <v>1</v>
      </c>
      <c r="L83" s="485"/>
      <c r="M83" s="349" t="s">
        <v>33</v>
      </c>
      <c r="N83" s="486"/>
      <c r="O83" s="487"/>
      <c r="P83" s="124"/>
    </row>
    <row r="84" spans="1:16" s="23" customFormat="1" ht="54">
      <c r="A84" s="82">
        <v>78</v>
      </c>
      <c r="B84" s="6" t="s">
        <v>75</v>
      </c>
      <c r="C84" s="354"/>
      <c r="D84" s="349" t="s">
        <v>1067</v>
      </c>
      <c r="E84" s="85" t="s">
        <v>1071</v>
      </c>
      <c r="F84" s="122">
        <v>1258200</v>
      </c>
      <c r="G84" s="351" t="s">
        <v>23</v>
      </c>
      <c r="H84" s="351" t="s">
        <v>1070</v>
      </c>
      <c r="I84" s="351">
        <v>1399</v>
      </c>
      <c r="J84" s="90" t="s">
        <v>25</v>
      </c>
      <c r="K84" s="123">
        <v>1</v>
      </c>
      <c r="L84" s="485"/>
      <c r="M84" s="349" t="s">
        <v>33</v>
      </c>
      <c r="N84" s="486"/>
      <c r="O84" s="487"/>
      <c r="P84" s="124"/>
    </row>
    <row r="85" spans="1:16" s="23" customFormat="1" ht="54">
      <c r="A85" s="82">
        <v>79</v>
      </c>
      <c r="B85" s="6" t="s">
        <v>75</v>
      </c>
      <c r="C85" s="354"/>
      <c r="D85" s="349" t="s">
        <v>1067</v>
      </c>
      <c r="E85" s="85" t="s">
        <v>1072</v>
      </c>
      <c r="F85" s="122">
        <v>97250</v>
      </c>
      <c r="G85" s="351" t="s">
        <v>23</v>
      </c>
      <c r="H85" s="351" t="s">
        <v>1070</v>
      </c>
      <c r="I85" s="351">
        <v>1399</v>
      </c>
      <c r="J85" s="90" t="s">
        <v>25</v>
      </c>
      <c r="K85" s="123">
        <v>1</v>
      </c>
      <c r="L85" s="485"/>
      <c r="M85" s="349" t="s">
        <v>33</v>
      </c>
      <c r="N85" s="486"/>
      <c r="O85" s="487"/>
      <c r="P85" s="124"/>
    </row>
    <row r="86" spans="1:16" s="23" customFormat="1" ht="70.900000000000006" customHeight="1">
      <c r="A86" s="82">
        <v>80</v>
      </c>
      <c r="B86" s="6" t="s">
        <v>75</v>
      </c>
      <c r="C86" s="354"/>
      <c r="D86" s="349" t="s">
        <v>1067</v>
      </c>
      <c r="E86" s="85" t="s">
        <v>1073</v>
      </c>
      <c r="F86" s="122">
        <v>115000</v>
      </c>
      <c r="G86" s="351" t="s">
        <v>23</v>
      </c>
      <c r="H86" s="351" t="s">
        <v>1070</v>
      </c>
      <c r="I86" s="351">
        <v>1399</v>
      </c>
      <c r="J86" s="90" t="s">
        <v>25</v>
      </c>
      <c r="K86" s="123">
        <v>1</v>
      </c>
      <c r="L86" s="485"/>
      <c r="M86" s="349" t="s">
        <v>33</v>
      </c>
      <c r="N86" s="486"/>
      <c r="O86" s="487"/>
      <c r="P86" s="124"/>
    </row>
    <row r="87" spans="1:16" s="23" customFormat="1" ht="54">
      <c r="A87" s="82">
        <v>81</v>
      </c>
      <c r="B87" s="6" t="s">
        <v>75</v>
      </c>
      <c r="C87" s="354"/>
      <c r="D87" s="349" t="s">
        <v>1067</v>
      </c>
      <c r="E87" s="85" t="s">
        <v>1074</v>
      </c>
      <c r="F87" s="122">
        <v>600000</v>
      </c>
      <c r="G87" s="351" t="s">
        <v>23</v>
      </c>
      <c r="H87" s="351" t="s">
        <v>1070</v>
      </c>
      <c r="I87" s="351">
        <v>1399</v>
      </c>
      <c r="J87" s="90" t="s">
        <v>25</v>
      </c>
      <c r="K87" s="123">
        <v>1</v>
      </c>
      <c r="L87" s="485"/>
      <c r="M87" s="349" t="s">
        <v>33</v>
      </c>
      <c r="N87" s="486"/>
      <c r="O87" s="487"/>
      <c r="P87" s="124"/>
    </row>
    <row r="88" spans="1:16" s="23" customFormat="1" ht="90">
      <c r="A88" s="82">
        <v>82</v>
      </c>
      <c r="B88" s="6" t="s">
        <v>75</v>
      </c>
      <c r="C88" s="354" t="s">
        <v>1075</v>
      </c>
      <c r="D88" s="349" t="s">
        <v>1076</v>
      </c>
      <c r="E88" s="85" t="s">
        <v>1077</v>
      </c>
      <c r="F88" s="122">
        <v>208320000</v>
      </c>
      <c r="G88" s="351" t="s">
        <v>23</v>
      </c>
      <c r="H88" s="351" t="s">
        <v>41</v>
      </c>
      <c r="I88" s="351">
        <v>1401</v>
      </c>
      <c r="J88" s="90" t="s">
        <v>25</v>
      </c>
      <c r="K88" s="484"/>
      <c r="L88" s="485" t="s">
        <v>72</v>
      </c>
      <c r="M88" s="488"/>
      <c r="N88" s="351" t="s">
        <v>1834</v>
      </c>
      <c r="O88" s="351" t="s">
        <v>1835</v>
      </c>
      <c r="P88" s="86" t="s">
        <v>1079</v>
      </c>
    </row>
    <row r="89" spans="1:16" s="23" customFormat="1" ht="72">
      <c r="A89" s="82">
        <v>83</v>
      </c>
      <c r="B89" s="6" t="s">
        <v>75</v>
      </c>
      <c r="C89" s="354" t="s">
        <v>1080</v>
      </c>
      <c r="D89" s="349" t="s">
        <v>111</v>
      </c>
      <c r="E89" s="85" t="s">
        <v>1081</v>
      </c>
      <c r="F89" s="122">
        <v>530000</v>
      </c>
      <c r="G89" s="351" t="s">
        <v>23</v>
      </c>
      <c r="H89" s="351" t="s">
        <v>77</v>
      </c>
      <c r="I89" s="351">
        <v>1399</v>
      </c>
      <c r="J89" s="90" t="s">
        <v>25</v>
      </c>
      <c r="K89" s="484">
        <v>1</v>
      </c>
      <c r="L89" s="485"/>
      <c r="M89" s="349" t="s">
        <v>33</v>
      </c>
      <c r="N89" s="486"/>
      <c r="O89" s="487"/>
      <c r="P89" s="124"/>
    </row>
    <row r="90" spans="1:16" s="23" customFormat="1" ht="36">
      <c r="A90" s="82">
        <v>84</v>
      </c>
      <c r="B90" s="6" t="s">
        <v>75</v>
      </c>
      <c r="C90" s="354" t="s">
        <v>1011</v>
      </c>
      <c r="D90" s="349" t="s">
        <v>111</v>
      </c>
      <c r="E90" s="85" t="s">
        <v>187</v>
      </c>
      <c r="F90" s="122">
        <v>320000</v>
      </c>
      <c r="G90" s="351" t="s">
        <v>23</v>
      </c>
      <c r="H90" s="351" t="s">
        <v>77</v>
      </c>
      <c r="I90" s="351">
        <v>1399</v>
      </c>
      <c r="J90" s="90" t="s">
        <v>25</v>
      </c>
      <c r="K90" s="484">
        <v>1</v>
      </c>
      <c r="L90" s="485"/>
      <c r="M90" s="349" t="s">
        <v>33</v>
      </c>
      <c r="N90" s="486"/>
      <c r="O90" s="487"/>
      <c r="P90" s="124"/>
    </row>
    <row r="91" spans="1:16" s="23" customFormat="1" ht="70.900000000000006" customHeight="1">
      <c r="A91" s="82">
        <v>85</v>
      </c>
      <c r="B91" s="6" t="s">
        <v>75</v>
      </c>
      <c r="C91" s="702" t="s">
        <v>1082</v>
      </c>
      <c r="D91" s="349" t="s">
        <v>57</v>
      </c>
      <c r="E91" s="85" t="s">
        <v>1083</v>
      </c>
      <c r="F91" s="122">
        <v>14790720.000000002</v>
      </c>
      <c r="G91" s="702" t="s">
        <v>23</v>
      </c>
      <c r="H91" s="702" t="s">
        <v>58</v>
      </c>
      <c r="I91" s="702">
        <v>1399</v>
      </c>
      <c r="J91" s="90" t="s">
        <v>25</v>
      </c>
      <c r="K91" s="484">
        <v>0.05</v>
      </c>
      <c r="L91" s="485"/>
      <c r="M91" s="349" t="s">
        <v>1851</v>
      </c>
      <c r="N91" s="486"/>
      <c r="O91" s="158" t="s">
        <v>1875</v>
      </c>
      <c r="P91" s="124"/>
    </row>
    <row r="92" spans="1:16" s="23" customFormat="1" ht="99.75" customHeight="1">
      <c r="A92" s="82">
        <v>86</v>
      </c>
      <c r="B92" s="6" t="s">
        <v>75</v>
      </c>
      <c r="C92" s="807" t="s">
        <v>1084</v>
      </c>
      <c r="D92" s="349" t="s">
        <v>57</v>
      </c>
      <c r="E92" s="85" t="s">
        <v>1085</v>
      </c>
      <c r="F92" s="122">
        <v>3404841.6</v>
      </c>
      <c r="G92" s="702" t="s">
        <v>23</v>
      </c>
      <c r="H92" s="702" t="s">
        <v>58</v>
      </c>
      <c r="I92" s="702">
        <v>1399</v>
      </c>
      <c r="J92" s="90" t="s">
        <v>25</v>
      </c>
      <c r="K92" s="651">
        <v>1</v>
      </c>
      <c r="L92" s="485"/>
      <c r="M92" s="349" t="s">
        <v>33</v>
      </c>
      <c r="N92" s="486"/>
      <c r="O92" s="487"/>
      <c r="P92" s="124"/>
    </row>
    <row r="93" spans="1:16" s="23" customFormat="1" ht="67.150000000000006" customHeight="1">
      <c r="A93" s="82">
        <v>87</v>
      </c>
      <c r="B93" s="6" t="s">
        <v>75</v>
      </c>
      <c r="C93" s="808"/>
      <c r="D93" s="349" t="s">
        <v>57</v>
      </c>
      <c r="E93" s="85" t="s">
        <v>1086</v>
      </c>
      <c r="F93" s="122">
        <v>1197840</v>
      </c>
      <c r="G93" s="702" t="s">
        <v>23</v>
      </c>
      <c r="H93" s="702" t="s">
        <v>58</v>
      </c>
      <c r="I93" s="702">
        <v>1399</v>
      </c>
      <c r="J93" s="90" t="s">
        <v>25</v>
      </c>
      <c r="K93" s="651">
        <v>1</v>
      </c>
      <c r="L93" s="485"/>
      <c r="M93" s="349" t="s">
        <v>33</v>
      </c>
      <c r="N93" s="486"/>
      <c r="O93" s="487"/>
      <c r="P93" s="124"/>
    </row>
    <row r="94" spans="1:16" s="23" customFormat="1" ht="72">
      <c r="A94" s="82">
        <v>88</v>
      </c>
      <c r="B94" s="6" t="s">
        <v>75</v>
      </c>
      <c r="C94" s="808"/>
      <c r="D94" s="349" t="s">
        <v>57</v>
      </c>
      <c r="E94" s="85" t="s">
        <v>1087</v>
      </c>
      <c r="F94" s="122">
        <v>781200.00000000012</v>
      </c>
      <c r="G94" s="702" t="s">
        <v>23</v>
      </c>
      <c r="H94" s="702" t="s">
        <v>58</v>
      </c>
      <c r="I94" s="702">
        <v>1399</v>
      </c>
      <c r="J94" s="90" t="s">
        <v>25</v>
      </c>
      <c r="K94" s="651">
        <v>1</v>
      </c>
      <c r="L94" s="485"/>
      <c r="M94" s="349" t="s">
        <v>33</v>
      </c>
      <c r="N94" s="486"/>
      <c r="O94" s="487"/>
      <c r="P94" s="124"/>
    </row>
    <row r="95" spans="1:16" s="23" customFormat="1" ht="72">
      <c r="A95" s="82">
        <v>89</v>
      </c>
      <c r="B95" s="6" t="s">
        <v>75</v>
      </c>
      <c r="C95" s="808"/>
      <c r="D95" s="349" t="s">
        <v>57</v>
      </c>
      <c r="E95" s="85" t="s">
        <v>1088</v>
      </c>
      <c r="F95" s="122">
        <v>911400.00000000012</v>
      </c>
      <c r="G95" s="702" t="s">
        <v>23</v>
      </c>
      <c r="H95" s="702" t="s">
        <v>58</v>
      </c>
      <c r="I95" s="702">
        <v>1399</v>
      </c>
      <c r="J95" s="90" t="s">
        <v>25</v>
      </c>
      <c r="K95" s="651">
        <v>1</v>
      </c>
      <c r="L95" s="485"/>
      <c r="M95" s="349" t="s">
        <v>33</v>
      </c>
      <c r="N95" s="486"/>
      <c r="O95" s="487"/>
      <c r="P95" s="124"/>
    </row>
    <row r="96" spans="1:16" s="23" customFormat="1" ht="72">
      <c r="A96" s="82">
        <v>90</v>
      </c>
      <c r="B96" s="6" t="s">
        <v>75</v>
      </c>
      <c r="C96" s="809"/>
      <c r="D96" s="349" t="s">
        <v>57</v>
      </c>
      <c r="E96" s="85" t="s">
        <v>1089</v>
      </c>
      <c r="F96" s="122">
        <v>3543672.0000000005</v>
      </c>
      <c r="G96" s="702" t="s">
        <v>23</v>
      </c>
      <c r="H96" s="702" t="s">
        <v>58</v>
      </c>
      <c r="I96" s="702">
        <v>1399</v>
      </c>
      <c r="J96" s="90" t="s">
        <v>25</v>
      </c>
      <c r="K96" s="651">
        <v>1</v>
      </c>
      <c r="L96" s="485"/>
      <c r="M96" s="349" t="s">
        <v>33</v>
      </c>
      <c r="N96" s="486"/>
      <c r="O96" s="487"/>
      <c r="P96" s="124"/>
    </row>
    <row r="97" spans="1:18" s="461" customFormat="1" ht="54.75" customHeight="1">
      <c r="A97" s="82">
        <v>91</v>
      </c>
      <c r="B97" s="6" t="s">
        <v>75</v>
      </c>
      <c r="C97" s="702" t="s">
        <v>1090</v>
      </c>
      <c r="D97" s="349" t="s">
        <v>59</v>
      </c>
      <c r="E97" s="85" t="s">
        <v>1091</v>
      </c>
      <c r="F97" s="489">
        <v>12193271.800000001</v>
      </c>
      <c r="G97" s="702" t="s">
        <v>23</v>
      </c>
      <c r="H97" s="702" t="s">
        <v>58</v>
      </c>
      <c r="I97" s="702">
        <v>1399</v>
      </c>
      <c r="J97" s="90" t="s">
        <v>25</v>
      </c>
      <c r="K97" s="60"/>
      <c r="L97" s="485"/>
      <c r="M97" s="349" t="s">
        <v>580</v>
      </c>
      <c r="N97" s="85" t="s">
        <v>1884</v>
      </c>
      <c r="O97" s="158" t="s">
        <v>1848</v>
      </c>
      <c r="P97" s="124"/>
      <c r="Q97" s="29"/>
      <c r="R97" s="29"/>
    </row>
    <row r="98" spans="1:18" s="461" customFormat="1" ht="90">
      <c r="A98" s="82">
        <v>92</v>
      </c>
      <c r="B98" s="6" t="s">
        <v>75</v>
      </c>
      <c r="C98" s="702" t="s">
        <v>1090</v>
      </c>
      <c r="D98" s="349" t="s">
        <v>59</v>
      </c>
      <c r="E98" s="85" t="s">
        <v>1092</v>
      </c>
      <c r="F98" s="489">
        <v>19924618.989999998</v>
      </c>
      <c r="G98" s="702" t="s">
        <v>23</v>
      </c>
      <c r="H98" s="702" t="s">
        <v>58</v>
      </c>
      <c r="I98" s="702">
        <v>1399</v>
      </c>
      <c r="J98" s="90" t="s">
        <v>25</v>
      </c>
      <c r="K98" s="60" t="s">
        <v>17</v>
      </c>
      <c r="L98" s="485"/>
      <c r="M98" s="349" t="s">
        <v>580</v>
      </c>
      <c r="N98" s="85" t="s">
        <v>1884</v>
      </c>
      <c r="O98" s="158" t="s">
        <v>1848</v>
      </c>
      <c r="P98" s="124"/>
      <c r="Q98" s="29"/>
      <c r="R98" s="29"/>
    </row>
    <row r="99" spans="1:18" s="461" customFormat="1" ht="50.45" customHeight="1">
      <c r="A99" s="82">
        <v>93</v>
      </c>
      <c r="B99" s="6" t="s">
        <v>75</v>
      </c>
      <c r="C99" s="807" t="s">
        <v>1093</v>
      </c>
      <c r="D99" s="349" t="s">
        <v>59</v>
      </c>
      <c r="E99" s="85" t="s">
        <v>1027</v>
      </c>
      <c r="F99" s="490">
        <v>1130801</v>
      </c>
      <c r="G99" s="702" t="s">
        <v>23</v>
      </c>
      <c r="H99" s="702" t="s">
        <v>58</v>
      </c>
      <c r="I99" s="702">
        <v>1399</v>
      </c>
      <c r="J99" s="90" t="s">
        <v>25</v>
      </c>
      <c r="K99" s="60">
        <v>1</v>
      </c>
      <c r="L99" s="485"/>
      <c r="M99" s="485" t="s">
        <v>33</v>
      </c>
      <c r="N99" s="486"/>
      <c r="O99" s="487"/>
      <c r="P99" s="124"/>
      <c r="Q99" s="29"/>
      <c r="R99" s="29"/>
    </row>
    <row r="100" spans="1:18" s="461" customFormat="1" ht="54">
      <c r="A100" s="82">
        <v>94</v>
      </c>
      <c r="B100" s="6" t="s">
        <v>75</v>
      </c>
      <c r="C100" s="808"/>
      <c r="D100" s="349" t="s">
        <v>59</v>
      </c>
      <c r="E100" s="85" t="s">
        <v>1094</v>
      </c>
      <c r="F100" s="490">
        <v>79880</v>
      </c>
      <c r="G100" s="702" t="s">
        <v>23</v>
      </c>
      <c r="H100" s="702" t="s">
        <v>58</v>
      </c>
      <c r="I100" s="702">
        <v>1399</v>
      </c>
      <c r="J100" s="90" t="s">
        <v>25</v>
      </c>
      <c r="K100" s="60">
        <v>1</v>
      </c>
      <c r="L100" s="485"/>
      <c r="M100" s="349" t="s">
        <v>71</v>
      </c>
      <c r="N100" s="486"/>
      <c r="O100" s="487"/>
      <c r="P100" s="124"/>
      <c r="Q100" s="29"/>
      <c r="R100" s="29"/>
    </row>
    <row r="101" spans="1:18" s="461" customFormat="1" ht="54">
      <c r="A101" s="82">
        <v>95</v>
      </c>
      <c r="B101" s="6" t="s">
        <v>75</v>
      </c>
      <c r="C101" s="808"/>
      <c r="D101" s="349" t="s">
        <v>59</v>
      </c>
      <c r="E101" s="85" t="s">
        <v>1095</v>
      </c>
      <c r="F101" s="490">
        <v>101142</v>
      </c>
      <c r="G101" s="702" t="s">
        <v>23</v>
      </c>
      <c r="H101" s="702" t="s">
        <v>58</v>
      </c>
      <c r="I101" s="702">
        <v>1399</v>
      </c>
      <c r="J101" s="90" t="s">
        <v>25</v>
      </c>
      <c r="K101" s="60">
        <v>1</v>
      </c>
      <c r="L101" s="485"/>
      <c r="M101" s="349" t="s">
        <v>33</v>
      </c>
      <c r="N101" s="486"/>
      <c r="O101" s="487"/>
      <c r="P101" s="124"/>
      <c r="Q101" s="29"/>
      <c r="R101" s="29"/>
    </row>
    <row r="102" spans="1:18" s="461" customFormat="1" ht="54">
      <c r="A102" s="82">
        <v>96</v>
      </c>
      <c r="B102" s="6" t="s">
        <v>75</v>
      </c>
      <c r="C102" s="808"/>
      <c r="D102" s="349" t="s">
        <v>59</v>
      </c>
      <c r="E102" s="85" t="s">
        <v>60</v>
      </c>
      <c r="F102" s="490">
        <v>585200</v>
      </c>
      <c r="G102" s="702" t="s">
        <v>23</v>
      </c>
      <c r="H102" s="702" t="s">
        <v>58</v>
      </c>
      <c r="I102" s="702">
        <v>1399</v>
      </c>
      <c r="J102" s="90" t="s">
        <v>25</v>
      </c>
      <c r="K102" s="60">
        <v>1</v>
      </c>
      <c r="L102" s="485"/>
      <c r="M102" s="349" t="s">
        <v>33</v>
      </c>
      <c r="N102" s="486"/>
      <c r="O102" s="487"/>
      <c r="P102" s="124"/>
      <c r="Q102" s="29"/>
      <c r="R102" s="29"/>
    </row>
    <row r="103" spans="1:18" s="461" customFormat="1" ht="54">
      <c r="A103" s="82">
        <v>97</v>
      </c>
      <c r="B103" s="6" t="s">
        <v>75</v>
      </c>
      <c r="C103" s="808"/>
      <c r="D103" s="349" t="s">
        <v>59</v>
      </c>
      <c r="E103" s="85" t="s">
        <v>61</v>
      </c>
      <c r="F103" s="490">
        <v>78027</v>
      </c>
      <c r="G103" s="702" t="s">
        <v>23</v>
      </c>
      <c r="H103" s="702" t="s">
        <v>58</v>
      </c>
      <c r="I103" s="702">
        <v>1399</v>
      </c>
      <c r="J103" s="90" t="s">
        <v>25</v>
      </c>
      <c r="K103" s="60">
        <v>1</v>
      </c>
      <c r="L103" s="485"/>
      <c r="M103" s="349" t="s">
        <v>33</v>
      </c>
      <c r="N103" s="486"/>
      <c r="O103" s="487"/>
      <c r="P103" s="124"/>
      <c r="Q103" s="29"/>
      <c r="R103" s="29"/>
    </row>
    <row r="104" spans="1:18" s="461" customFormat="1" ht="54">
      <c r="A104" s="82">
        <v>98</v>
      </c>
      <c r="B104" s="6" t="s">
        <v>75</v>
      </c>
      <c r="C104" s="808"/>
      <c r="D104" s="349" t="s">
        <v>59</v>
      </c>
      <c r="E104" s="85" t="s">
        <v>1096</v>
      </c>
      <c r="F104" s="490">
        <v>3012610</v>
      </c>
      <c r="G104" s="702" t="s">
        <v>23</v>
      </c>
      <c r="H104" s="702" t="s">
        <v>58</v>
      </c>
      <c r="I104" s="702">
        <v>1399</v>
      </c>
      <c r="J104" s="90" t="s">
        <v>25</v>
      </c>
      <c r="K104" s="130">
        <v>1</v>
      </c>
      <c r="L104" s="485"/>
      <c r="M104" s="349" t="s">
        <v>33</v>
      </c>
      <c r="N104" s="486"/>
      <c r="O104" s="487"/>
      <c r="P104" s="124"/>
      <c r="Q104" s="29"/>
      <c r="R104" s="29"/>
    </row>
    <row r="105" spans="1:18" s="461" customFormat="1" ht="54">
      <c r="A105" s="82">
        <v>99</v>
      </c>
      <c r="B105" s="6" t="s">
        <v>75</v>
      </c>
      <c r="C105" s="808"/>
      <c r="D105" s="349" t="s">
        <v>59</v>
      </c>
      <c r="E105" s="85" t="s">
        <v>1028</v>
      </c>
      <c r="F105" s="490">
        <v>1986559</v>
      </c>
      <c r="G105" s="702" t="s">
        <v>23</v>
      </c>
      <c r="H105" s="702" t="s">
        <v>58</v>
      </c>
      <c r="I105" s="702">
        <v>1399</v>
      </c>
      <c r="J105" s="90" t="s">
        <v>25</v>
      </c>
      <c r="K105" s="60">
        <v>1</v>
      </c>
      <c r="L105" s="485"/>
      <c r="M105" s="349" t="s">
        <v>33</v>
      </c>
      <c r="N105" s="486"/>
      <c r="O105" s="487"/>
      <c r="P105" s="124"/>
      <c r="Q105" s="29"/>
      <c r="R105" s="29"/>
    </row>
    <row r="106" spans="1:18" s="461" customFormat="1" ht="54">
      <c r="A106" s="82">
        <v>100</v>
      </c>
      <c r="B106" s="6" t="s">
        <v>75</v>
      </c>
      <c r="C106" s="808"/>
      <c r="D106" s="349" t="s">
        <v>59</v>
      </c>
      <c r="E106" s="85" t="s">
        <v>1029</v>
      </c>
      <c r="F106" s="490">
        <v>565693</v>
      </c>
      <c r="G106" s="702" t="s">
        <v>23</v>
      </c>
      <c r="H106" s="702" t="s">
        <v>58</v>
      </c>
      <c r="I106" s="702">
        <v>1399</v>
      </c>
      <c r="J106" s="90" t="s">
        <v>25</v>
      </c>
      <c r="K106" s="60">
        <v>1</v>
      </c>
      <c r="L106" s="485"/>
      <c r="M106" s="349" t="s">
        <v>71</v>
      </c>
      <c r="N106" s="486"/>
      <c r="O106" s="487"/>
      <c r="P106" s="124"/>
      <c r="Q106" s="29"/>
      <c r="R106" s="29"/>
    </row>
    <row r="107" spans="1:18" s="461" customFormat="1" ht="54">
      <c r="A107" s="82">
        <v>101</v>
      </c>
      <c r="B107" s="6" t="s">
        <v>75</v>
      </c>
      <c r="C107" s="808"/>
      <c r="D107" s="349" t="s">
        <v>59</v>
      </c>
      <c r="E107" s="85" t="s">
        <v>1097</v>
      </c>
      <c r="F107" s="490">
        <v>21465</v>
      </c>
      <c r="G107" s="702" t="s">
        <v>23</v>
      </c>
      <c r="H107" s="702" t="s">
        <v>58</v>
      </c>
      <c r="I107" s="702">
        <v>1399</v>
      </c>
      <c r="J107" s="90" t="s">
        <v>25</v>
      </c>
      <c r="K107" s="60">
        <v>1</v>
      </c>
      <c r="L107" s="485"/>
      <c r="M107" s="349" t="s">
        <v>33</v>
      </c>
      <c r="N107" s="486"/>
      <c r="O107" s="487"/>
      <c r="P107" s="124"/>
      <c r="Q107" s="29"/>
      <c r="R107" s="29"/>
    </row>
    <row r="108" spans="1:18" s="461" customFormat="1" ht="54">
      <c r="A108" s="82">
        <v>102</v>
      </c>
      <c r="B108" s="6" t="s">
        <v>75</v>
      </c>
      <c r="C108" s="808"/>
      <c r="D108" s="349" t="s">
        <v>59</v>
      </c>
      <c r="E108" s="85" t="s">
        <v>1030</v>
      </c>
      <c r="F108" s="490">
        <v>19507</v>
      </c>
      <c r="G108" s="702" t="s">
        <v>23</v>
      </c>
      <c r="H108" s="702" t="s">
        <v>58</v>
      </c>
      <c r="I108" s="702">
        <v>1399</v>
      </c>
      <c r="J108" s="90" t="s">
        <v>25</v>
      </c>
      <c r="K108" s="60">
        <v>1</v>
      </c>
      <c r="L108" s="485"/>
      <c r="M108" s="349" t="s">
        <v>33</v>
      </c>
      <c r="N108" s="486"/>
      <c r="O108" s="487"/>
      <c r="P108" s="124"/>
      <c r="Q108" s="29"/>
      <c r="R108" s="29"/>
    </row>
    <row r="109" spans="1:18" s="461" customFormat="1" ht="54">
      <c r="A109" s="82">
        <v>103</v>
      </c>
      <c r="B109" s="6" t="s">
        <v>75</v>
      </c>
      <c r="C109" s="808"/>
      <c r="D109" s="349" t="s">
        <v>59</v>
      </c>
      <c r="E109" s="85" t="s">
        <v>1031</v>
      </c>
      <c r="F109" s="490">
        <v>4683239</v>
      </c>
      <c r="G109" s="702" t="s">
        <v>23</v>
      </c>
      <c r="H109" s="702" t="s">
        <v>58</v>
      </c>
      <c r="I109" s="702">
        <v>1399</v>
      </c>
      <c r="J109" s="90" t="s">
        <v>25</v>
      </c>
      <c r="K109" s="60">
        <v>1</v>
      </c>
      <c r="L109" s="485"/>
      <c r="M109" s="349" t="s">
        <v>33</v>
      </c>
      <c r="N109" s="486"/>
      <c r="O109" s="487"/>
      <c r="P109" s="124"/>
      <c r="Q109" s="29"/>
      <c r="R109" s="29"/>
    </row>
    <row r="110" spans="1:18" s="461" customFormat="1" ht="54">
      <c r="A110" s="82">
        <v>104</v>
      </c>
      <c r="B110" s="6" t="s">
        <v>75</v>
      </c>
      <c r="C110" s="808"/>
      <c r="D110" s="349" t="s">
        <v>59</v>
      </c>
      <c r="E110" s="85" t="s">
        <v>1032</v>
      </c>
      <c r="F110" s="490">
        <v>3850000</v>
      </c>
      <c r="G110" s="702" t="s">
        <v>23</v>
      </c>
      <c r="H110" s="702" t="s">
        <v>58</v>
      </c>
      <c r="I110" s="702">
        <v>1399</v>
      </c>
      <c r="J110" s="90" t="s">
        <v>25</v>
      </c>
      <c r="K110" s="60">
        <v>1</v>
      </c>
      <c r="L110" s="485"/>
      <c r="M110" s="349" t="s">
        <v>33</v>
      </c>
      <c r="N110" s="486"/>
      <c r="O110" s="487"/>
      <c r="P110" s="124"/>
      <c r="Q110" s="29"/>
      <c r="R110" s="29"/>
    </row>
    <row r="111" spans="1:18" s="461" customFormat="1" ht="54">
      <c r="A111" s="82">
        <v>105</v>
      </c>
      <c r="B111" s="6" t="s">
        <v>75</v>
      </c>
      <c r="C111" s="808"/>
      <c r="D111" s="349" t="s">
        <v>59</v>
      </c>
      <c r="E111" s="85" t="s">
        <v>1033</v>
      </c>
      <c r="F111" s="490">
        <v>1560533</v>
      </c>
      <c r="G111" s="702" t="s">
        <v>23</v>
      </c>
      <c r="H111" s="702" t="s">
        <v>58</v>
      </c>
      <c r="I111" s="702">
        <v>1399</v>
      </c>
      <c r="J111" s="90" t="s">
        <v>25</v>
      </c>
      <c r="K111" s="60">
        <v>0.1</v>
      </c>
      <c r="L111" s="485"/>
      <c r="M111" s="349" t="s">
        <v>1851</v>
      </c>
      <c r="N111" s="486"/>
      <c r="O111" s="158" t="s">
        <v>1875</v>
      </c>
      <c r="P111" s="124"/>
      <c r="Q111" s="29"/>
      <c r="R111" s="29"/>
    </row>
    <row r="112" spans="1:18" s="461" customFormat="1" ht="72">
      <c r="A112" s="82">
        <v>106</v>
      </c>
      <c r="B112" s="6" t="s">
        <v>75</v>
      </c>
      <c r="C112" s="808"/>
      <c r="D112" s="349" t="s">
        <v>59</v>
      </c>
      <c r="E112" s="85" t="s">
        <v>1098</v>
      </c>
      <c r="F112" s="490">
        <v>5842403</v>
      </c>
      <c r="G112" s="702" t="s">
        <v>23</v>
      </c>
      <c r="H112" s="702" t="s">
        <v>58</v>
      </c>
      <c r="I112" s="702">
        <v>1399</v>
      </c>
      <c r="J112" s="90" t="s">
        <v>25</v>
      </c>
      <c r="K112" s="60" t="s">
        <v>17</v>
      </c>
      <c r="L112" s="90" t="s">
        <v>35</v>
      </c>
      <c r="M112" s="349"/>
      <c r="N112" s="349" t="s">
        <v>1885</v>
      </c>
      <c r="O112" s="158" t="s">
        <v>1886</v>
      </c>
      <c r="P112" s="124"/>
      <c r="Q112" s="29"/>
      <c r="R112" s="29"/>
    </row>
    <row r="113" spans="1:18" s="461" customFormat="1" ht="54">
      <c r="A113" s="82">
        <v>107</v>
      </c>
      <c r="B113" s="6" t="s">
        <v>75</v>
      </c>
      <c r="C113" s="808"/>
      <c r="D113" s="349" t="s">
        <v>59</v>
      </c>
      <c r="E113" s="85" t="s">
        <v>1034</v>
      </c>
      <c r="F113" s="490">
        <v>6165667</v>
      </c>
      <c r="G113" s="702" t="s">
        <v>23</v>
      </c>
      <c r="H113" s="702" t="s">
        <v>58</v>
      </c>
      <c r="I113" s="702">
        <v>1399</v>
      </c>
      <c r="J113" s="90" t="s">
        <v>25</v>
      </c>
      <c r="K113" s="60">
        <v>1</v>
      </c>
      <c r="L113" s="485"/>
      <c r="M113" s="349" t="s">
        <v>33</v>
      </c>
      <c r="N113" s="486"/>
      <c r="O113" s="487"/>
      <c r="P113" s="124"/>
      <c r="Q113" s="29"/>
      <c r="R113" s="29"/>
    </row>
    <row r="114" spans="1:18" s="461" customFormat="1" ht="72">
      <c r="A114" s="82">
        <v>108</v>
      </c>
      <c r="B114" s="6" t="s">
        <v>75</v>
      </c>
      <c r="C114" s="808"/>
      <c r="D114" s="349" t="s">
        <v>59</v>
      </c>
      <c r="E114" s="85" t="s">
        <v>1099</v>
      </c>
      <c r="F114" s="490">
        <v>16632000</v>
      </c>
      <c r="G114" s="702" t="s">
        <v>23</v>
      </c>
      <c r="H114" s="702" t="s">
        <v>58</v>
      </c>
      <c r="I114" s="702">
        <v>1399</v>
      </c>
      <c r="J114" s="90" t="s">
        <v>25</v>
      </c>
      <c r="K114" s="60" t="s">
        <v>17</v>
      </c>
      <c r="L114" s="90" t="s">
        <v>35</v>
      </c>
      <c r="M114" s="349"/>
      <c r="N114" s="86" t="s">
        <v>1885</v>
      </c>
      <c r="O114" s="158" t="s">
        <v>1886</v>
      </c>
      <c r="P114" s="124"/>
      <c r="Q114" s="29"/>
      <c r="R114" s="29"/>
    </row>
    <row r="115" spans="1:18" s="461" customFormat="1" ht="54">
      <c r="A115" s="82">
        <v>109</v>
      </c>
      <c r="B115" s="6" t="s">
        <v>75</v>
      </c>
      <c r="C115" s="808"/>
      <c r="D115" s="349" t="s">
        <v>59</v>
      </c>
      <c r="E115" s="85" t="s">
        <v>1035</v>
      </c>
      <c r="F115" s="490">
        <v>1925000</v>
      </c>
      <c r="G115" s="702" t="s">
        <v>23</v>
      </c>
      <c r="H115" s="702" t="s">
        <v>58</v>
      </c>
      <c r="I115" s="702">
        <v>1399</v>
      </c>
      <c r="J115" s="90" t="s">
        <v>25</v>
      </c>
      <c r="K115" s="60">
        <v>1</v>
      </c>
      <c r="L115" s="485"/>
      <c r="M115" s="349" t="s">
        <v>33</v>
      </c>
      <c r="N115" s="486"/>
      <c r="O115" s="487"/>
      <c r="P115" s="124"/>
      <c r="Q115" s="29"/>
      <c r="R115" s="29"/>
    </row>
    <row r="116" spans="1:18" s="461" customFormat="1" ht="54">
      <c r="A116" s="82">
        <v>110</v>
      </c>
      <c r="B116" s="6" t="s">
        <v>75</v>
      </c>
      <c r="C116" s="808"/>
      <c r="D116" s="349" t="s">
        <v>59</v>
      </c>
      <c r="E116" s="85" t="s">
        <v>1036</v>
      </c>
      <c r="F116" s="490">
        <v>1155000</v>
      </c>
      <c r="G116" s="702" t="s">
        <v>23</v>
      </c>
      <c r="H116" s="702" t="s">
        <v>58</v>
      </c>
      <c r="I116" s="702">
        <v>1399</v>
      </c>
      <c r="J116" s="90" t="s">
        <v>25</v>
      </c>
      <c r="K116" s="60">
        <v>1</v>
      </c>
      <c r="L116" s="485"/>
      <c r="M116" s="349" t="s">
        <v>1887</v>
      </c>
      <c r="N116" s="486"/>
      <c r="O116" s="487"/>
      <c r="P116" s="124"/>
      <c r="Q116" s="29"/>
      <c r="R116" s="29"/>
    </row>
    <row r="117" spans="1:18" s="461" customFormat="1" ht="54">
      <c r="A117" s="82">
        <v>111</v>
      </c>
      <c r="B117" s="6" t="s">
        <v>75</v>
      </c>
      <c r="C117" s="808"/>
      <c r="D117" s="349" t="s">
        <v>59</v>
      </c>
      <c r="E117" s="85" t="s">
        <v>1037</v>
      </c>
      <c r="F117" s="490">
        <v>641667</v>
      </c>
      <c r="G117" s="702" t="s">
        <v>23</v>
      </c>
      <c r="H117" s="702" t="s">
        <v>58</v>
      </c>
      <c r="I117" s="702">
        <v>1399</v>
      </c>
      <c r="J117" s="90" t="s">
        <v>25</v>
      </c>
      <c r="K117" s="60">
        <v>1</v>
      </c>
      <c r="L117" s="485"/>
      <c r="M117" s="349" t="s">
        <v>1887</v>
      </c>
      <c r="N117" s="486"/>
      <c r="O117" s="487"/>
      <c r="P117" s="124"/>
      <c r="Q117" s="29"/>
      <c r="R117" s="29"/>
    </row>
    <row r="118" spans="1:18" s="461" customFormat="1" ht="54">
      <c r="A118" s="82">
        <v>112</v>
      </c>
      <c r="B118" s="6" t="s">
        <v>75</v>
      </c>
      <c r="C118" s="808"/>
      <c r="D118" s="349" t="s">
        <v>59</v>
      </c>
      <c r="E118" s="85" t="s">
        <v>1038</v>
      </c>
      <c r="F118" s="490">
        <v>308000</v>
      </c>
      <c r="G118" s="702" t="s">
        <v>23</v>
      </c>
      <c r="H118" s="702" t="s">
        <v>58</v>
      </c>
      <c r="I118" s="702">
        <v>1399</v>
      </c>
      <c r="J118" s="90" t="s">
        <v>25</v>
      </c>
      <c r="K118" s="60">
        <v>1</v>
      </c>
      <c r="L118" s="485"/>
      <c r="M118" s="349" t="s">
        <v>33</v>
      </c>
      <c r="N118" s="486"/>
      <c r="O118" s="487"/>
      <c r="P118" s="124"/>
      <c r="Q118" s="29"/>
      <c r="R118" s="29"/>
    </row>
    <row r="119" spans="1:18" s="461" customFormat="1" ht="54">
      <c r="A119" s="82">
        <v>113</v>
      </c>
      <c r="B119" s="6" t="s">
        <v>75</v>
      </c>
      <c r="C119" s="808"/>
      <c r="D119" s="349" t="s">
        <v>59</v>
      </c>
      <c r="E119" s="85" t="s">
        <v>1039</v>
      </c>
      <c r="F119" s="490">
        <v>410749</v>
      </c>
      <c r="G119" s="702" t="s">
        <v>23</v>
      </c>
      <c r="H119" s="702" t="s">
        <v>58</v>
      </c>
      <c r="I119" s="702">
        <v>1399</v>
      </c>
      <c r="J119" s="90" t="s">
        <v>25</v>
      </c>
      <c r="K119" s="60">
        <v>1</v>
      </c>
      <c r="L119" s="485"/>
      <c r="M119" s="349" t="s">
        <v>71</v>
      </c>
      <c r="N119" s="486"/>
      <c r="O119" s="487"/>
      <c r="P119" s="124"/>
      <c r="Q119" s="29"/>
      <c r="R119" s="29"/>
    </row>
    <row r="120" spans="1:18" s="461" customFormat="1" ht="54">
      <c r="A120" s="82">
        <v>114</v>
      </c>
      <c r="B120" s="6" t="s">
        <v>75</v>
      </c>
      <c r="C120" s="808"/>
      <c r="D120" s="349" t="s">
        <v>59</v>
      </c>
      <c r="E120" s="85" t="s">
        <v>1040</v>
      </c>
      <c r="F120" s="490">
        <v>102656</v>
      </c>
      <c r="G120" s="702" t="s">
        <v>23</v>
      </c>
      <c r="H120" s="702" t="s">
        <v>58</v>
      </c>
      <c r="I120" s="702">
        <v>1399</v>
      </c>
      <c r="J120" s="90" t="s">
        <v>25</v>
      </c>
      <c r="K120" s="60">
        <v>1</v>
      </c>
      <c r="L120" s="485"/>
      <c r="M120" s="349" t="s">
        <v>71</v>
      </c>
      <c r="N120" s="486"/>
      <c r="O120" s="487"/>
      <c r="P120" s="124"/>
      <c r="Q120" s="29"/>
      <c r="R120" s="29"/>
    </row>
    <row r="121" spans="1:18" s="461" customFormat="1" ht="54">
      <c r="A121" s="82">
        <v>115</v>
      </c>
      <c r="B121" s="6" t="s">
        <v>75</v>
      </c>
      <c r="C121" s="808"/>
      <c r="D121" s="349" t="s">
        <v>59</v>
      </c>
      <c r="E121" s="85" t="s">
        <v>1041</v>
      </c>
      <c r="F121" s="490">
        <v>1024100</v>
      </c>
      <c r="G121" s="702" t="s">
        <v>23</v>
      </c>
      <c r="H121" s="702" t="s">
        <v>58</v>
      </c>
      <c r="I121" s="702">
        <v>1399</v>
      </c>
      <c r="J121" s="90" t="s">
        <v>25</v>
      </c>
      <c r="K121" s="60">
        <v>1</v>
      </c>
      <c r="L121" s="485"/>
      <c r="M121" s="349" t="s">
        <v>33</v>
      </c>
      <c r="N121" s="486"/>
      <c r="O121" s="487"/>
      <c r="P121" s="124"/>
      <c r="Q121" s="29"/>
      <c r="R121" s="29"/>
    </row>
    <row r="122" spans="1:18" s="461" customFormat="1" ht="54">
      <c r="A122" s="82">
        <v>116</v>
      </c>
      <c r="B122" s="6" t="s">
        <v>75</v>
      </c>
      <c r="C122" s="808"/>
      <c r="D122" s="349" t="s">
        <v>59</v>
      </c>
      <c r="E122" s="85" t="s">
        <v>1100</v>
      </c>
      <c r="F122" s="490">
        <v>656656</v>
      </c>
      <c r="G122" s="702" t="s">
        <v>23</v>
      </c>
      <c r="H122" s="702" t="s">
        <v>58</v>
      </c>
      <c r="I122" s="702">
        <v>1399</v>
      </c>
      <c r="J122" s="90" t="s">
        <v>25</v>
      </c>
      <c r="K122" s="60">
        <v>1</v>
      </c>
      <c r="L122" s="485"/>
      <c r="M122" s="349" t="s">
        <v>33</v>
      </c>
      <c r="N122" s="486"/>
      <c r="O122" s="487"/>
      <c r="P122" s="124"/>
      <c r="Q122" s="29"/>
      <c r="R122" s="29"/>
    </row>
    <row r="123" spans="1:18" s="461" customFormat="1" ht="54">
      <c r="A123" s="82">
        <v>117</v>
      </c>
      <c r="B123" s="6" t="s">
        <v>75</v>
      </c>
      <c r="C123" s="808"/>
      <c r="D123" s="349" t="s">
        <v>59</v>
      </c>
      <c r="E123" s="85" t="s">
        <v>1101</v>
      </c>
      <c r="F123" s="490">
        <v>30800000</v>
      </c>
      <c r="G123" s="702" t="s">
        <v>23</v>
      </c>
      <c r="H123" s="702" t="s">
        <v>58</v>
      </c>
      <c r="I123" s="702">
        <v>1399</v>
      </c>
      <c r="J123" s="90" t="s">
        <v>25</v>
      </c>
      <c r="K123" s="60">
        <v>0</v>
      </c>
      <c r="L123" s="485"/>
      <c r="M123" s="349" t="s">
        <v>81</v>
      </c>
      <c r="N123" s="486"/>
      <c r="O123" s="487"/>
      <c r="P123" s="124"/>
      <c r="Q123" s="29"/>
      <c r="R123" s="29"/>
    </row>
    <row r="124" spans="1:18" s="461" customFormat="1" ht="54">
      <c r="A124" s="82">
        <v>118</v>
      </c>
      <c r="B124" s="6" t="s">
        <v>75</v>
      </c>
      <c r="C124" s="808"/>
      <c r="D124" s="349" t="s">
        <v>59</v>
      </c>
      <c r="E124" s="85" t="s">
        <v>1102</v>
      </c>
      <c r="F124" s="490">
        <v>2637731</v>
      </c>
      <c r="G124" s="702" t="s">
        <v>23</v>
      </c>
      <c r="H124" s="702" t="s">
        <v>58</v>
      </c>
      <c r="I124" s="702">
        <v>1399</v>
      </c>
      <c r="J124" s="90" t="s">
        <v>25</v>
      </c>
      <c r="K124" s="60">
        <v>1</v>
      </c>
      <c r="L124" s="485"/>
      <c r="M124" s="349" t="s">
        <v>33</v>
      </c>
      <c r="N124" s="486"/>
      <c r="O124" s="487"/>
      <c r="P124" s="124"/>
      <c r="Q124" s="29"/>
      <c r="R124" s="29"/>
    </row>
    <row r="125" spans="1:18" s="461" customFormat="1" ht="54">
      <c r="A125" s="82">
        <v>119</v>
      </c>
      <c r="B125" s="6" t="s">
        <v>75</v>
      </c>
      <c r="C125" s="808"/>
      <c r="D125" s="349" t="s">
        <v>59</v>
      </c>
      <c r="E125" s="85" t="s">
        <v>62</v>
      </c>
      <c r="F125" s="490">
        <v>4297524</v>
      </c>
      <c r="G125" s="702" t="s">
        <v>23</v>
      </c>
      <c r="H125" s="702" t="s">
        <v>58</v>
      </c>
      <c r="I125" s="702">
        <v>1399</v>
      </c>
      <c r="J125" s="90" t="s">
        <v>25</v>
      </c>
      <c r="K125" s="60">
        <v>1</v>
      </c>
      <c r="L125" s="485"/>
      <c r="M125" s="349" t="s">
        <v>71</v>
      </c>
      <c r="N125" s="486"/>
      <c r="O125" s="487"/>
      <c r="P125" s="124"/>
      <c r="Q125" s="29"/>
      <c r="R125" s="29"/>
    </row>
    <row r="126" spans="1:18" s="461" customFormat="1" ht="54">
      <c r="A126" s="82">
        <v>120</v>
      </c>
      <c r="B126" s="6" t="s">
        <v>75</v>
      </c>
      <c r="C126" s="808"/>
      <c r="D126" s="349" t="s">
        <v>59</v>
      </c>
      <c r="E126" s="85" t="s">
        <v>1042</v>
      </c>
      <c r="F126" s="490">
        <v>1327586</v>
      </c>
      <c r="G126" s="702" t="s">
        <v>23</v>
      </c>
      <c r="H126" s="702" t="s">
        <v>58</v>
      </c>
      <c r="I126" s="702">
        <v>1399</v>
      </c>
      <c r="J126" s="90" t="s">
        <v>25</v>
      </c>
      <c r="K126" s="60">
        <v>1</v>
      </c>
      <c r="L126" s="485"/>
      <c r="M126" s="349" t="s">
        <v>71</v>
      </c>
      <c r="N126" s="486"/>
      <c r="O126" s="487"/>
      <c r="P126" s="124"/>
      <c r="Q126" s="29"/>
      <c r="R126" s="29"/>
    </row>
    <row r="127" spans="1:18" s="461" customFormat="1" ht="54">
      <c r="A127" s="82">
        <v>121</v>
      </c>
      <c r="B127" s="6" t="s">
        <v>75</v>
      </c>
      <c r="C127" s="808"/>
      <c r="D127" s="349" t="s">
        <v>59</v>
      </c>
      <c r="E127" s="85" t="s">
        <v>63</v>
      </c>
      <c r="F127" s="490">
        <v>1540000</v>
      </c>
      <c r="G127" s="702" t="s">
        <v>23</v>
      </c>
      <c r="H127" s="702" t="s">
        <v>58</v>
      </c>
      <c r="I127" s="702">
        <v>1399</v>
      </c>
      <c r="J127" s="90" t="s">
        <v>25</v>
      </c>
      <c r="K127" s="60">
        <v>0.05</v>
      </c>
      <c r="L127" s="485"/>
      <c r="M127" s="349" t="s">
        <v>39</v>
      </c>
      <c r="N127" s="486"/>
      <c r="O127" s="158" t="s">
        <v>1875</v>
      </c>
      <c r="P127" s="124"/>
      <c r="Q127" s="29"/>
      <c r="R127" s="29"/>
    </row>
    <row r="128" spans="1:18" s="461" customFormat="1" ht="54">
      <c r="A128" s="82">
        <v>122</v>
      </c>
      <c r="B128" s="6" t="s">
        <v>75</v>
      </c>
      <c r="C128" s="808"/>
      <c r="D128" s="349" t="s">
        <v>59</v>
      </c>
      <c r="E128" s="85" t="s">
        <v>1043</v>
      </c>
      <c r="F128" s="490">
        <v>39655000</v>
      </c>
      <c r="G128" s="702" t="s">
        <v>23</v>
      </c>
      <c r="H128" s="702" t="s">
        <v>58</v>
      </c>
      <c r="I128" s="702">
        <v>1399</v>
      </c>
      <c r="J128" s="90" t="s">
        <v>25</v>
      </c>
      <c r="K128" s="60">
        <v>0.05</v>
      </c>
      <c r="L128" s="485"/>
      <c r="M128" s="349" t="s">
        <v>39</v>
      </c>
      <c r="N128" s="486"/>
      <c r="O128" s="158" t="s">
        <v>1875</v>
      </c>
      <c r="P128" s="124"/>
      <c r="Q128" s="29"/>
      <c r="R128" s="29"/>
    </row>
    <row r="129" spans="1:18" s="461" customFormat="1" ht="54">
      <c r="A129" s="82">
        <v>123</v>
      </c>
      <c r="B129" s="6" t="s">
        <v>75</v>
      </c>
      <c r="C129" s="808"/>
      <c r="D129" s="349" t="s">
        <v>59</v>
      </c>
      <c r="E129" s="85" t="s">
        <v>1103</v>
      </c>
      <c r="F129" s="490">
        <v>82800470</v>
      </c>
      <c r="G129" s="702" t="s">
        <v>23</v>
      </c>
      <c r="H129" s="702" t="s">
        <v>58</v>
      </c>
      <c r="I129" s="702">
        <v>1399</v>
      </c>
      <c r="J129" s="90" t="s">
        <v>25</v>
      </c>
      <c r="K129" s="60">
        <v>0.5</v>
      </c>
      <c r="L129" s="485"/>
      <c r="M129" s="349" t="s">
        <v>39</v>
      </c>
      <c r="N129" s="486"/>
      <c r="O129" s="158" t="s">
        <v>1875</v>
      </c>
      <c r="P129" s="124"/>
      <c r="Q129" s="29"/>
      <c r="R129" s="29"/>
    </row>
    <row r="130" spans="1:18" s="461" customFormat="1" ht="54">
      <c r="A130" s="82">
        <v>124</v>
      </c>
      <c r="B130" s="6" t="s">
        <v>75</v>
      </c>
      <c r="C130" s="808"/>
      <c r="D130" s="349" t="s">
        <v>59</v>
      </c>
      <c r="E130" s="85" t="s">
        <v>1044</v>
      </c>
      <c r="F130" s="490">
        <v>1232000</v>
      </c>
      <c r="G130" s="702" t="s">
        <v>23</v>
      </c>
      <c r="H130" s="702" t="s">
        <v>58</v>
      </c>
      <c r="I130" s="702">
        <v>1399</v>
      </c>
      <c r="J130" s="90" t="s">
        <v>25</v>
      </c>
      <c r="K130" s="60">
        <v>0.05</v>
      </c>
      <c r="L130" s="485"/>
      <c r="M130" s="349" t="s">
        <v>39</v>
      </c>
      <c r="N130" s="652"/>
      <c r="O130" s="158" t="s">
        <v>1875</v>
      </c>
      <c r="P130" s="124"/>
      <c r="Q130" s="29"/>
      <c r="R130" s="29"/>
    </row>
    <row r="131" spans="1:18" s="461" customFormat="1" ht="54">
      <c r="A131" s="82">
        <v>125</v>
      </c>
      <c r="B131" s="6" t="s">
        <v>75</v>
      </c>
      <c r="C131" s="808"/>
      <c r="D131" s="349" t="s">
        <v>59</v>
      </c>
      <c r="E131" s="85" t="s">
        <v>1045</v>
      </c>
      <c r="F131" s="490">
        <v>640640</v>
      </c>
      <c r="G131" s="702" t="s">
        <v>23</v>
      </c>
      <c r="H131" s="702" t="s">
        <v>58</v>
      </c>
      <c r="I131" s="702">
        <v>1399</v>
      </c>
      <c r="J131" s="90" t="s">
        <v>25</v>
      </c>
      <c r="K131" s="60">
        <v>7.0000000000000007E-2</v>
      </c>
      <c r="L131" s="485"/>
      <c r="M131" s="349" t="s">
        <v>39</v>
      </c>
      <c r="N131" s="720" t="s">
        <v>17</v>
      </c>
      <c r="O131" s="158" t="s">
        <v>1875</v>
      </c>
      <c r="P131" s="124"/>
      <c r="Q131" s="29"/>
      <c r="R131" s="29"/>
    </row>
    <row r="132" spans="1:18" s="461" customFormat="1" ht="54">
      <c r="A132" s="82">
        <v>126</v>
      </c>
      <c r="B132" s="6" t="s">
        <v>75</v>
      </c>
      <c r="C132" s="808"/>
      <c r="D132" s="349" t="s">
        <v>59</v>
      </c>
      <c r="E132" s="85" t="s">
        <v>64</v>
      </c>
      <c r="F132" s="490">
        <v>2640000</v>
      </c>
      <c r="G132" s="702" t="s">
        <v>23</v>
      </c>
      <c r="H132" s="702" t="s">
        <v>58</v>
      </c>
      <c r="I132" s="702">
        <v>1399</v>
      </c>
      <c r="J132" s="90" t="s">
        <v>25</v>
      </c>
      <c r="K132" s="60">
        <v>1</v>
      </c>
      <c r="L132" s="485"/>
      <c r="M132" s="349" t="s">
        <v>33</v>
      </c>
      <c r="N132" s="486"/>
      <c r="O132" s="487"/>
      <c r="P132" s="124"/>
      <c r="Q132" s="29"/>
      <c r="R132" s="29"/>
    </row>
    <row r="133" spans="1:18" s="461" customFormat="1" ht="54">
      <c r="A133" s="82">
        <v>127</v>
      </c>
      <c r="B133" s="6" t="s">
        <v>75</v>
      </c>
      <c r="C133" s="808"/>
      <c r="D133" s="349" t="s">
        <v>59</v>
      </c>
      <c r="E133" s="85" t="s">
        <v>65</v>
      </c>
      <c r="F133" s="490">
        <v>7150000</v>
      </c>
      <c r="G133" s="702" t="s">
        <v>23</v>
      </c>
      <c r="H133" s="702" t="s">
        <v>58</v>
      </c>
      <c r="I133" s="702">
        <v>1399</v>
      </c>
      <c r="J133" s="90" t="s">
        <v>25</v>
      </c>
      <c r="K133" s="60">
        <v>1</v>
      </c>
      <c r="L133" s="485"/>
      <c r="M133" s="349" t="s">
        <v>33</v>
      </c>
      <c r="N133" s="486"/>
      <c r="O133" s="487"/>
      <c r="P133" s="124"/>
      <c r="Q133" s="29"/>
      <c r="R133" s="29"/>
    </row>
    <row r="134" spans="1:18" s="461" customFormat="1" ht="108">
      <c r="A134" s="82">
        <v>128</v>
      </c>
      <c r="B134" s="6" t="s">
        <v>75</v>
      </c>
      <c r="C134" s="808"/>
      <c r="D134" s="349" t="s">
        <v>59</v>
      </c>
      <c r="E134" s="85" t="s">
        <v>1032</v>
      </c>
      <c r="F134" s="490">
        <f>50000*77</f>
        <v>3850000</v>
      </c>
      <c r="G134" s="702" t="s">
        <v>23</v>
      </c>
      <c r="H134" s="702" t="s">
        <v>58</v>
      </c>
      <c r="I134" s="702">
        <v>1399</v>
      </c>
      <c r="J134" s="90" t="s">
        <v>25</v>
      </c>
      <c r="K134" s="60" t="s">
        <v>17</v>
      </c>
      <c r="L134" s="485" t="s">
        <v>35</v>
      </c>
      <c r="M134" s="349" t="s">
        <v>1888</v>
      </c>
      <c r="N134" s="652" t="s">
        <v>1889</v>
      </c>
      <c r="O134" s="158" t="s">
        <v>1890</v>
      </c>
      <c r="P134" s="124"/>
      <c r="Q134" s="29"/>
      <c r="R134" s="29"/>
    </row>
    <row r="135" spans="1:18" s="461" customFormat="1" ht="54">
      <c r="A135" s="82">
        <v>129</v>
      </c>
      <c r="B135" s="6" t="s">
        <v>75</v>
      </c>
      <c r="C135" s="809"/>
      <c r="D135" s="349" t="s">
        <v>59</v>
      </c>
      <c r="E135" s="85" t="s">
        <v>66</v>
      </c>
      <c r="F135" s="490">
        <v>1348270</v>
      </c>
      <c r="G135" s="702" t="s">
        <v>23</v>
      </c>
      <c r="H135" s="702" t="s">
        <v>58</v>
      </c>
      <c r="I135" s="702">
        <v>1399</v>
      </c>
      <c r="J135" s="90" t="s">
        <v>25</v>
      </c>
      <c r="K135" s="60">
        <v>1</v>
      </c>
      <c r="L135" s="485"/>
      <c r="M135" s="349" t="s">
        <v>33</v>
      </c>
      <c r="N135" s="486"/>
      <c r="O135" s="487"/>
      <c r="P135" s="124"/>
      <c r="Q135" s="29"/>
      <c r="R135" s="29"/>
    </row>
    <row r="136" spans="1:18" s="23" customFormat="1" ht="76.900000000000006" customHeight="1">
      <c r="A136" s="82">
        <v>130</v>
      </c>
      <c r="B136" s="6" t="s">
        <v>75</v>
      </c>
      <c r="C136" s="354"/>
      <c r="D136" s="349" t="s">
        <v>67</v>
      </c>
      <c r="E136" s="85" t="s">
        <v>1104</v>
      </c>
      <c r="F136" s="491">
        <v>6000000</v>
      </c>
      <c r="G136" s="351" t="s">
        <v>141</v>
      </c>
      <c r="H136" s="351" t="s">
        <v>77</v>
      </c>
      <c r="I136" s="351">
        <v>1401</v>
      </c>
      <c r="J136" s="90" t="s">
        <v>25</v>
      </c>
      <c r="K136" s="484"/>
      <c r="L136" s="485" t="s">
        <v>3</v>
      </c>
      <c r="M136" s="90"/>
      <c r="N136" s="66" t="s">
        <v>1046</v>
      </c>
      <c r="O136" s="90" t="s">
        <v>1105</v>
      </c>
      <c r="P136" s="124"/>
    </row>
    <row r="137" spans="1:18" s="559" customFormat="1" ht="83.45" customHeight="1">
      <c r="A137" s="82">
        <v>131</v>
      </c>
      <c r="B137" s="6" t="s">
        <v>75</v>
      </c>
      <c r="C137" s="354"/>
      <c r="D137" s="196" t="s">
        <v>73</v>
      </c>
      <c r="E137" s="231" t="s">
        <v>74</v>
      </c>
      <c r="F137" s="290">
        <v>623409.42000000004</v>
      </c>
      <c r="G137" s="561" t="s">
        <v>23</v>
      </c>
      <c r="H137" s="561" t="s">
        <v>77</v>
      </c>
      <c r="I137" s="561">
        <v>1399</v>
      </c>
      <c r="J137" s="22" t="s">
        <v>25</v>
      </c>
      <c r="K137" s="265"/>
      <c r="L137" s="494" t="s">
        <v>72</v>
      </c>
      <c r="M137" s="623"/>
      <c r="N137" s="641" t="s">
        <v>581</v>
      </c>
      <c r="O137" s="196" t="s">
        <v>1833</v>
      </c>
      <c r="P137" s="560"/>
    </row>
    <row r="138" spans="1:18">
      <c r="F138" s="143"/>
    </row>
  </sheetData>
  <autoFilter ref="D1:D81"/>
  <mergeCells count="16">
    <mergeCell ref="C92:C96"/>
    <mergeCell ref="C99:C135"/>
    <mergeCell ref="A1:P4"/>
    <mergeCell ref="L5:M5"/>
    <mergeCell ref="N5:N6"/>
    <mergeCell ref="O5:O6"/>
    <mergeCell ref="P5:P6"/>
    <mergeCell ref="E5:E6"/>
    <mergeCell ref="F5:H5"/>
    <mergeCell ref="I5:I6"/>
    <mergeCell ref="J5:J6"/>
    <mergeCell ref="K5:K6"/>
    <mergeCell ref="A5:A6"/>
    <mergeCell ref="B5:B6"/>
    <mergeCell ref="C5:C6"/>
    <mergeCell ref="D5:D6"/>
  </mergeCells>
  <printOptions horizontalCentered="1"/>
  <pageMargins left="0.2" right="0.2" top="0.5" bottom="0.5" header="0.3" footer="0.3"/>
  <pageSetup paperSize="9" scale="62"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sheetPr>
    <tabColor rgb="FF92D050"/>
  </sheetPr>
  <dimension ref="A1:AI63"/>
  <sheetViews>
    <sheetView rightToLeft="1" view="pageBreakPreview" topLeftCell="A57" zoomScale="88" zoomScaleSheetLayoutView="88" workbookViewId="0">
      <selection activeCell="K61" sqref="K61"/>
    </sheetView>
  </sheetViews>
  <sheetFormatPr defaultColWidth="9.140625" defaultRowHeight="15"/>
  <cols>
    <col min="1" max="1" width="6.7109375" style="1" customWidth="1"/>
    <col min="2" max="2" width="13.42578125" style="10" customWidth="1"/>
    <col min="3" max="3" width="13" style="3" customWidth="1"/>
    <col min="4" max="4" width="12.5703125" style="8" customWidth="1"/>
    <col min="5" max="5" width="29.85546875" style="8" customWidth="1"/>
    <col min="6" max="6" width="13" style="18" customWidth="1"/>
    <col min="7" max="7" width="9.5703125" style="2" customWidth="1"/>
    <col min="8" max="8" width="12" style="2" customWidth="1"/>
    <col min="9" max="9" width="11" style="1" customWidth="1"/>
    <col min="10" max="10" width="13.140625" style="1" customWidth="1"/>
    <col min="11" max="11" width="12.42578125" style="16" customWidth="1"/>
    <col min="12" max="12" width="12.42578125" style="4" customWidth="1"/>
    <col min="13" max="13" width="12.5703125" style="9" customWidth="1"/>
    <col min="14" max="14" width="21.5703125" style="9" customWidth="1"/>
    <col min="15" max="15" width="21.42578125" style="9" customWidth="1"/>
    <col min="16" max="16" width="12.5703125" style="4" customWidth="1"/>
    <col min="17" max="16384" width="9.140625" style="4"/>
  </cols>
  <sheetData>
    <row r="1" spans="1:16" ht="18" customHeight="1">
      <c r="A1" s="788" t="s">
        <v>1806</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31.5" customHeight="1">
      <c r="A5" s="791" t="s">
        <v>0</v>
      </c>
      <c r="B5" s="791" t="s">
        <v>14</v>
      </c>
      <c r="C5" s="791" t="s">
        <v>18</v>
      </c>
      <c r="D5" s="837" t="s">
        <v>1</v>
      </c>
      <c r="E5" s="791" t="s">
        <v>15</v>
      </c>
      <c r="F5" s="791" t="s">
        <v>9</v>
      </c>
      <c r="G5" s="791"/>
      <c r="H5" s="791"/>
      <c r="I5" s="791" t="s">
        <v>7</v>
      </c>
      <c r="J5" s="791" t="s">
        <v>6</v>
      </c>
      <c r="K5" s="833" t="s">
        <v>16</v>
      </c>
      <c r="L5" s="791" t="s">
        <v>2</v>
      </c>
      <c r="M5" s="791"/>
      <c r="N5" s="791" t="s">
        <v>5</v>
      </c>
      <c r="O5" s="791" t="s">
        <v>13</v>
      </c>
      <c r="P5" s="834" t="s">
        <v>8</v>
      </c>
    </row>
    <row r="6" spans="1:16" ht="36" customHeight="1">
      <c r="A6" s="791"/>
      <c r="B6" s="791"/>
      <c r="C6" s="791"/>
      <c r="D6" s="837"/>
      <c r="E6" s="791"/>
      <c r="F6" s="74" t="s">
        <v>10</v>
      </c>
      <c r="G6" s="69" t="s">
        <v>11</v>
      </c>
      <c r="H6" s="69" t="s">
        <v>12</v>
      </c>
      <c r="I6" s="791"/>
      <c r="J6" s="791"/>
      <c r="K6" s="833"/>
      <c r="L6" s="69" t="s">
        <v>3</v>
      </c>
      <c r="M6" s="69" t="s">
        <v>4</v>
      </c>
      <c r="N6" s="791"/>
      <c r="O6" s="791"/>
      <c r="P6" s="835"/>
    </row>
    <row r="7" spans="1:16" s="5" customFormat="1" ht="59.45" customHeight="1">
      <c r="A7" s="82">
        <v>1</v>
      </c>
      <c r="B7" s="6" t="s">
        <v>75</v>
      </c>
      <c r="C7" s="354" t="s">
        <v>1592</v>
      </c>
      <c r="D7" s="576" t="s">
        <v>320</v>
      </c>
      <c r="E7" s="596" t="s">
        <v>1562</v>
      </c>
      <c r="F7" s="35">
        <v>191666.66666666666</v>
      </c>
      <c r="G7" s="583" t="s">
        <v>23</v>
      </c>
      <c r="H7" s="583" t="s">
        <v>77</v>
      </c>
      <c r="I7" s="583">
        <v>1399</v>
      </c>
      <c r="J7" s="583" t="s">
        <v>25</v>
      </c>
      <c r="K7" s="130">
        <v>1</v>
      </c>
      <c r="L7" s="480"/>
      <c r="M7" s="90" t="s">
        <v>33</v>
      </c>
      <c r="N7" s="492"/>
      <c r="O7" s="492"/>
      <c r="P7" s="480"/>
    </row>
    <row r="8" spans="1:16" s="5" customFormat="1" ht="70.5" customHeight="1">
      <c r="A8" s="82">
        <v>2</v>
      </c>
      <c r="B8" s="6" t="s">
        <v>75</v>
      </c>
      <c r="C8" s="354"/>
      <c r="D8" s="579" t="s">
        <v>1527</v>
      </c>
      <c r="E8" s="22" t="s">
        <v>1593</v>
      </c>
      <c r="F8" s="35">
        <v>266666</v>
      </c>
      <c r="G8" s="583" t="s">
        <v>23</v>
      </c>
      <c r="H8" s="583" t="s">
        <v>77</v>
      </c>
      <c r="I8" s="583">
        <v>1399</v>
      </c>
      <c r="J8" s="687" t="s">
        <v>25</v>
      </c>
      <c r="K8" s="131">
        <v>1</v>
      </c>
      <c r="L8" s="480"/>
      <c r="M8" s="90" t="s">
        <v>71</v>
      </c>
      <c r="N8" s="492"/>
      <c r="O8" s="492"/>
      <c r="P8" s="480"/>
    </row>
    <row r="9" spans="1:16" s="5" customFormat="1" ht="70.5" customHeight="1">
      <c r="A9" s="82">
        <v>3</v>
      </c>
      <c r="B9" s="6" t="s">
        <v>75</v>
      </c>
      <c r="C9" s="354"/>
      <c r="D9" s="579" t="s">
        <v>1527</v>
      </c>
      <c r="E9" s="22" t="s">
        <v>1594</v>
      </c>
      <c r="F9" s="35">
        <v>444444</v>
      </c>
      <c r="G9" s="583" t="s">
        <v>23</v>
      </c>
      <c r="H9" s="583" t="s">
        <v>77</v>
      </c>
      <c r="I9" s="583">
        <v>1399</v>
      </c>
      <c r="J9" s="687" t="s">
        <v>25</v>
      </c>
      <c r="K9" s="130">
        <v>1</v>
      </c>
      <c r="L9" s="480"/>
      <c r="M9" s="90" t="s">
        <v>33</v>
      </c>
      <c r="N9" s="492"/>
      <c r="O9" s="492"/>
      <c r="P9" s="480"/>
    </row>
    <row r="10" spans="1:16" s="5" customFormat="1" ht="70.5" customHeight="1">
      <c r="A10" s="82">
        <v>4</v>
      </c>
      <c r="B10" s="6" t="s">
        <v>75</v>
      </c>
      <c r="C10" s="354"/>
      <c r="D10" s="579" t="s">
        <v>1527</v>
      </c>
      <c r="E10" s="22" t="s">
        <v>1595</v>
      </c>
      <c r="F10" s="35">
        <v>1066668</v>
      </c>
      <c r="G10" s="583" t="s">
        <v>23</v>
      </c>
      <c r="H10" s="583" t="s">
        <v>77</v>
      </c>
      <c r="I10" s="583">
        <v>1399</v>
      </c>
      <c r="J10" s="687" t="s">
        <v>25</v>
      </c>
      <c r="K10" s="130">
        <v>1</v>
      </c>
      <c r="L10" s="480"/>
      <c r="M10" s="90" t="s">
        <v>33</v>
      </c>
      <c r="N10" s="492"/>
      <c r="O10" s="492"/>
      <c r="P10" s="480"/>
    </row>
    <row r="11" spans="1:16" s="5" customFormat="1" ht="70.5" customHeight="1">
      <c r="A11" s="82">
        <v>5</v>
      </c>
      <c r="B11" s="6" t="s">
        <v>75</v>
      </c>
      <c r="C11" s="354"/>
      <c r="D11" s="579" t="s">
        <v>1527</v>
      </c>
      <c r="E11" s="22" t="s">
        <v>1596</v>
      </c>
      <c r="F11" s="35">
        <v>1333335</v>
      </c>
      <c r="G11" s="583" t="s">
        <v>23</v>
      </c>
      <c r="H11" s="583" t="s">
        <v>77</v>
      </c>
      <c r="I11" s="583">
        <v>1399</v>
      </c>
      <c r="J11" s="687" t="s">
        <v>25</v>
      </c>
      <c r="K11" s="131">
        <v>0.05</v>
      </c>
      <c r="L11" s="480"/>
      <c r="M11" s="90" t="s">
        <v>42</v>
      </c>
      <c r="N11" s="492"/>
      <c r="O11" s="492"/>
      <c r="P11" s="480"/>
    </row>
    <row r="12" spans="1:16" s="5" customFormat="1" ht="70.5" customHeight="1">
      <c r="A12" s="82">
        <v>6</v>
      </c>
      <c r="B12" s="6" t="s">
        <v>75</v>
      </c>
      <c r="C12" s="354"/>
      <c r="D12" s="579" t="s">
        <v>1527</v>
      </c>
      <c r="E12" s="22" t="s">
        <v>1597</v>
      </c>
      <c r="F12" s="35">
        <v>800000</v>
      </c>
      <c r="G12" s="583" t="s">
        <v>23</v>
      </c>
      <c r="H12" s="583" t="s">
        <v>77</v>
      </c>
      <c r="I12" s="583">
        <v>1399</v>
      </c>
      <c r="J12" s="687" t="s">
        <v>25</v>
      </c>
      <c r="K12" s="131">
        <v>0.05</v>
      </c>
      <c r="L12" s="480"/>
      <c r="M12" s="90" t="s">
        <v>42</v>
      </c>
      <c r="N12" s="492"/>
      <c r="O12" s="492"/>
      <c r="P12" s="480"/>
    </row>
    <row r="13" spans="1:16" s="5" customFormat="1" ht="70.5" customHeight="1">
      <c r="A13" s="82">
        <v>7</v>
      </c>
      <c r="B13" s="6" t="s">
        <v>75</v>
      </c>
      <c r="C13" s="354"/>
      <c r="D13" s="579" t="s">
        <v>1527</v>
      </c>
      <c r="E13" s="22" t="s">
        <v>1598</v>
      </c>
      <c r="F13" s="35">
        <v>711112</v>
      </c>
      <c r="G13" s="583" t="s">
        <v>23</v>
      </c>
      <c r="H13" s="583" t="s">
        <v>77</v>
      </c>
      <c r="I13" s="583">
        <v>1399</v>
      </c>
      <c r="J13" s="687" t="s">
        <v>25</v>
      </c>
      <c r="K13" s="131">
        <v>0.15</v>
      </c>
      <c r="L13" s="480"/>
      <c r="M13" s="90" t="s">
        <v>42</v>
      </c>
      <c r="N13" s="492"/>
      <c r="O13" s="492"/>
      <c r="P13" s="480"/>
    </row>
    <row r="14" spans="1:16" s="5" customFormat="1" ht="70.5" customHeight="1">
      <c r="A14" s="82">
        <v>8</v>
      </c>
      <c r="B14" s="6" t="s">
        <v>75</v>
      </c>
      <c r="C14" s="354"/>
      <c r="D14" s="579" t="s">
        <v>1527</v>
      </c>
      <c r="E14" s="22" t="s">
        <v>1599</v>
      </c>
      <c r="F14" s="35">
        <v>266663</v>
      </c>
      <c r="G14" s="583" t="s">
        <v>23</v>
      </c>
      <c r="H14" s="583" t="s">
        <v>77</v>
      </c>
      <c r="I14" s="583">
        <v>1399</v>
      </c>
      <c r="J14" s="687" t="s">
        <v>25</v>
      </c>
      <c r="K14" s="131">
        <v>0.14000000000000001</v>
      </c>
      <c r="L14" s="480"/>
      <c r="M14" s="90" t="s">
        <v>42</v>
      </c>
      <c r="N14" s="492"/>
      <c r="O14" s="492"/>
      <c r="P14" s="480"/>
    </row>
    <row r="15" spans="1:16" s="5" customFormat="1" ht="70.5" customHeight="1">
      <c r="A15" s="82">
        <v>9</v>
      </c>
      <c r="B15" s="6" t="s">
        <v>75</v>
      </c>
      <c r="C15" s="354"/>
      <c r="D15" s="579" t="s">
        <v>1527</v>
      </c>
      <c r="E15" s="22" t="s">
        <v>1528</v>
      </c>
      <c r="F15" s="35">
        <v>354667</v>
      </c>
      <c r="G15" s="583" t="s">
        <v>23</v>
      </c>
      <c r="H15" s="583" t="s">
        <v>77</v>
      </c>
      <c r="I15" s="583">
        <v>1399</v>
      </c>
      <c r="J15" s="687" t="s">
        <v>25</v>
      </c>
      <c r="K15" s="131">
        <v>1</v>
      </c>
      <c r="L15" s="480"/>
      <c r="M15" s="90" t="s">
        <v>33</v>
      </c>
      <c r="N15" s="492"/>
      <c r="O15" s="492"/>
      <c r="P15" s="480"/>
    </row>
    <row r="16" spans="1:16" s="5" customFormat="1" ht="70.5" customHeight="1">
      <c r="A16" s="82">
        <v>10</v>
      </c>
      <c r="B16" s="6" t="s">
        <v>75</v>
      </c>
      <c r="C16" s="354"/>
      <c r="D16" s="579" t="s">
        <v>1527</v>
      </c>
      <c r="E16" s="22" t="s">
        <v>1587</v>
      </c>
      <c r="F16" s="35">
        <v>20000</v>
      </c>
      <c r="G16" s="583" t="s">
        <v>23</v>
      </c>
      <c r="H16" s="583" t="s">
        <v>77</v>
      </c>
      <c r="I16" s="583">
        <v>1399</v>
      </c>
      <c r="J16" s="687" t="s">
        <v>25</v>
      </c>
      <c r="K16" s="131">
        <v>1</v>
      </c>
      <c r="L16" s="480"/>
      <c r="M16" s="90" t="s">
        <v>33</v>
      </c>
      <c r="N16" s="492"/>
      <c r="O16" s="492"/>
      <c r="P16" s="480"/>
    </row>
    <row r="17" spans="1:18" ht="68.45" customHeight="1">
      <c r="A17" s="82">
        <v>11</v>
      </c>
      <c r="B17" s="6" t="s">
        <v>75</v>
      </c>
      <c r="C17" s="20"/>
      <c r="D17" s="36" t="s">
        <v>28</v>
      </c>
      <c r="E17" s="40" t="s">
        <v>157</v>
      </c>
      <c r="F17" s="35">
        <v>135000</v>
      </c>
      <c r="G17" s="19" t="s">
        <v>23</v>
      </c>
      <c r="H17" s="19" t="s">
        <v>77</v>
      </c>
      <c r="I17" s="19">
        <v>1399</v>
      </c>
      <c r="J17" s="687" t="s">
        <v>25</v>
      </c>
      <c r="K17" s="131">
        <v>1</v>
      </c>
      <c r="L17" s="687"/>
      <c r="M17" s="90" t="s">
        <v>33</v>
      </c>
      <c r="N17" s="22"/>
      <c r="O17" s="22"/>
      <c r="P17" s="76"/>
    </row>
    <row r="18" spans="1:18" ht="74.25" customHeight="1">
      <c r="A18" s="82">
        <v>12</v>
      </c>
      <c r="B18" s="6" t="s">
        <v>75</v>
      </c>
      <c r="C18" s="20"/>
      <c r="D18" s="36" t="s">
        <v>28</v>
      </c>
      <c r="E18" s="22" t="s">
        <v>307</v>
      </c>
      <c r="F18" s="35">
        <v>10500000</v>
      </c>
      <c r="G18" s="19" t="s">
        <v>23</v>
      </c>
      <c r="H18" s="19" t="s">
        <v>77</v>
      </c>
      <c r="I18" s="19">
        <v>1399</v>
      </c>
      <c r="J18" s="687" t="s">
        <v>25</v>
      </c>
      <c r="K18" s="131">
        <v>1</v>
      </c>
      <c r="L18" s="40"/>
      <c r="M18" s="90" t="s">
        <v>33</v>
      </c>
      <c r="N18" s="22"/>
      <c r="O18" s="40"/>
      <c r="P18" s="25" t="s">
        <v>17</v>
      </c>
    </row>
    <row r="19" spans="1:18" ht="54">
      <c r="A19" s="82">
        <v>13</v>
      </c>
      <c r="B19" s="6" t="s">
        <v>75</v>
      </c>
      <c r="C19" s="20"/>
      <c r="D19" s="36" t="s">
        <v>28</v>
      </c>
      <c r="E19" s="22" t="s">
        <v>115</v>
      </c>
      <c r="F19" s="35">
        <v>62250</v>
      </c>
      <c r="G19" s="19" t="s">
        <v>23</v>
      </c>
      <c r="H19" s="19" t="s">
        <v>77</v>
      </c>
      <c r="I19" s="19">
        <v>1399</v>
      </c>
      <c r="J19" s="687" t="s">
        <v>25</v>
      </c>
      <c r="K19" s="131">
        <v>1</v>
      </c>
      <c r="L19" s="687"/>
      <c r="M19" s="90" t="s">
        <v>33</v>
      </c>
      <c r="N19" s="22"/>
      <c r="O19" s="22"/>
      <c r="P19" s="19"/>
    </row>
    <row r="20" spans="1:18" ht="75" customHeight="1">
      <c r="A20" s="82">
        <v>14</v>
      </c>
      <c r="B20" s="6" t="s">
        <v>75</v>
      </c>
      <c r="C20" s="20"/>
      <c r="D20" s="36" t="s">
        <v>116</v>
      </c>
      <c r="E20" s="22" t="s">
        <v>240</v>
      </c>
      <c r="F20" s="35">
        <v>1920000</v>
      </c>
      <c r="G20" s="19" t="s">
        <v>23</v>
      </c>
      <c r="H20" s="19" t="s">
        <v>77</v>
      </c>
      <c r="I20" s="19">
        <v>1399</v>
      </c>
      <c r="J20" s="687" t="s">
        <v>25</v>
      </c>
      <c r="K20" s="131">
        <v>1</v>
      </c>
      <c r="L20" s="687"/>
      <c r="M20" s="22" t="s">
        <v>326</v>
      </c>
      <c r="N20" s="22"/>
      <c r="O20" s="22"/>
      <c r="P20" s="19"/>
    </row>
    <row r="21" spans="1:18" ht="54">
      <c r="A21" s="82">
        <v>15</v>
      </c>
      <c r="B21" s="6" t="s">
        <v>75</v>
      </c>
      <c r="C21" s="20"/>
      <c r="D21" s="36" t="s">
        <v>116</v>
      </c>
      <c r="E21" s="22" t="s">
        <v>79</v>
      </c>
      <c r="F21" s="35">
        <v>82000</v>
      </c>
      <c r="G21" s="19" t="s">
        <v>23</v>
      </c>
      <c r="H21" s="19" t="s">
        <v>77</v>
      </c>
      <c r="I21" s="19">
        <v>1399</v>
      </c>
      <c r="J21" s="19" t="s">
        <v>25</v>
      </c>
      <c r="K21" s="131">
        <v>1</v>
      </c>
      <c r="L21" s="19"/>
      <c r="M21" s="22" t="s">
        <v>326</v>
      </c>
      <c r="N21" s="22"/>
      <c r="O21" s="22"/>
      <c r="P21" s="19"/>
    </row>
    <row r="22" spans="1:18" ht="75" customHeight="1">
      <c r="A22" s="82">
        <v>16</v>
      </c>
      <c r="B22" s="6" t="s">
        <v>75</v>
      </c>
      <c r="C22" s="20"/>
      <c r="D22" s="36" t="s">
        <v>31</v>
      </c>
      <c r="E22" s="22" t="s">
        <v>119</v>
      </c>
      <c r="F22" s="35">
        <v>560000</v>
      </c>
      <c r="G22" s="19" t="s">
        <v>23</v>
      </c>
      <c r="H22" s="19" t="s">
        <v>77</v>
      </c>
      <c r="I22" s="19">
        <v>1399</v>
      </c>
      <c r="J22" s="19" t="s">
        <v>25</v>
      </c>
      <c r="K22" s="131">
        <v>1</v>
      </c>
      <c r="L22" s="105"/>
      <c r="M22" s="22" t="s">
        <v>326</v>
      </c>
      <c r="N22" s="27"/>
      <c r="O22" s="27"/>
      <c r="P22" s="19"/>
    </row>
    <row r="23" spans="1:18" ht="54">
      <c r="A23" s="82">
        <v>17</v>
      </c>
      <c r="B23" s="6" t="s">
        <v>75</v>
      </c>
      <c r="C23" s="20"/>
      <c r="D23" s="36" t="s">
        <v>31</v>
      </c>
      <c r="E23" s="22" t="s">
        <v>120</v>
      </c>
      <c r="F23" s="35">
        <v>502773</v>
      </c>
      <c r="G23" s="19" t="s">
        <v>23</v>
      </c>
      <c r="H23" s="19" t="s">
        <v>77</v>
      </c>
      <c r="I23" s="19">
        <v>1399</v>
      </c>
      <c r="J23" s="19" t="s">
        <v>25</v>
      </c>
      <c r="K23" s="131">
        <v>1</v>
      </c>
      <c r="L23" s="105"/>
      <c r="M23" s="22" t="s">
        <v>326</v>
      </c>
      <c r="N23" s="27"/>
      <c r="O23" s="27"/>
      <c r="P23" s="19"/>
    </row>
    <row r="24" spans="1:18" ht="54">
      <c r="A24" s="82">
        <v>18</v>
      </c>
      <c r="B24" s="6" t="s">
        <v>75</v>
      </c>
      <c r="C24" s="20"/>
      <c r="D24" s="36" t="s">
        <v>31</v>
      </c>
      <c r="E24" s="22" t="s">
        <v>121</v>
      </c>
      <c r="F24" s="35">
        <v>369040</v>
      </c>
      <c r="G24" s="19" t="s">
        <v>23</v>
      </c>
      <c r="H24" s="19" t="s">
        <v>77</v>
      </c>
      <c r="I24" s="19">
        <v>1399</v>
      </c>
      <c r="J24" s="19" t="s">
        <v>25</v>
      </c>
      <c r="K24" s="117">
        <v>1</v>
      </c>
      <c r="L24" s="105"/>
      <c r="M24" s="22" t="s">
        <v>326</v>
      </c>
      <c r="N24" s="27"/>
      <c r="O24" s="27"/>
      <c r="P24" s="19"/>
    </row>
    <row r="25" spans="1:18" ht="54">
      <c r="A25" s="82">
        <v>19</v>
      </c>
      <c r="B25" s="6" t="s">
        <v>75</v>
      </c>
      <c r="C25" s="20"/>
      <c r="D25" s="36" t="s">
        <v>31</v>
      </c>
      <c r="E25" s="22" t="s">
        <v>122</v>
      </c>
      <c r="F25" s="35">
        <v>346000</v>
      </c>
      <c r="G25" s="19" t="s">
        <v>23</v>
      </c>
      <c r="H25" s="19" t="s">
        <v>77</v>
      </c>
      <c r="I25" s="19">
        <v>1399</v>
      </c>
      <c r="J25" s="19" t="s">
        <v>25</v>
      </c>
      <c r="K25" s="24">
        <v>1</v>
      </c>
      <c r="L25" s="105"/>
      <c r="M25" s="22" t="s">
        <v>33</v>
      </c>
      <c r="N25" s="27"/>
      <c r="O25" s="27"/>
      <c r="P25" s="19"/>
    </row>
    <row r="26" spans="1:18" ht="36">
      <c r="A26" s="82">
        <v>20</v>
      </c>
      <c r="B26" s="6" t="s">
        <v>75</v>
      </c>
      <c r="C26" s="20"/>
      <c r="D26" s="836" t="s">
        <v>123</v>
      </c>
      <c r="E26" s="22" t="s">
        <v>308</v>
      </c>
      <c r="F26" s="35">
        <v>2576400</v>
      </c>
      <c r="G26" s="19" t="s">
        <v>23</v>
      </c>
      <c r="H26" s="19" t="s">
        <v>77</v>
      </c>
      <c r="I26" s="19">
        <v>1399</v>
      </c>
      <c r="J26" s="19" t="s">
        <v>25</v>
      </c>
      <c r="K26" s="131">
        <v>1</v>
      </c>
      <c r="L26" s="105"/>
      <c r="M26" s="22" t="s">
        <v>33</v>
      </c>
      <c r="N26" s="27"/>
      <c r="O26" s="27"/>
      <c r="P26" s="19"/>
    </row>
    <row r="27" spans="1:18" ht="36">
      <c r="A27" s="82">
        <v>21</v>
      </c>
      <c r="B27" s="6" t="s">
        <v>75</v>
      </c>
      <c r="C27" s="20"/>
      <c r="D27" s="836"/>
      <c r="E27" s="22" t="s">
        <v>109</v>
      </c>
      <c r="F27" s="35">
        <v>1000000</v>
      </c>
      <c r="G27" s="19" t="s">
        <v>23</v>
      </c>
      <c r="H27" s="19" t="s">
        <v>77</v>
      </c>
      <c r="I27" s="19">
        <v>1399</v>
      </c>
      <c r="J27" s="19" t="s">
        <v>25</v>
      </c>
      <c r="K27" s="131">
        <v>1</v>
      </c>
      <c r="L27" s="105"/>
      <c r="M27" s="22" t="s">
        <v>33</v>
      </c>
      <c r="N27" s="27"/>
      <c r="O27" s="27"/>
      <c r="P27" s="19"/>
    </row>
    <row r="28" spans="1:18" ht="49.5" customHeight="1">
      <c r="A28" s="82">
        <v>22</v>
      </c>
      <c r="B28" s="6" t="s">
        <v>75</v>
      </c>
      <c r="C28" s="20"/>
      <c r="D28" s="31" t="s">
        <v>40</v>
      </c>
      <c r="E28" s="90" t="s">
        <v>133</v>
      </c>
      <c r="F28" s="35">
        <v>1413600</v>
      </c>
      <c r="G28" s="19" t="s">
        <v>23</v>
      </c>
      <c r="H28" s="19" t="s">
        <v>41</v>
      </c>
      <c r="I28" s="19">
        <v>1399</v>
      </c>
      <c r="J28" s="19" t="s">
        <v>25</v>
      </c>
      <c r="K28" s="131">
        <v>1</v>
      </c>
      <c r="L28" s="105"/>
      <c r="M28" s="27" t="s">
        <v>309</v>
      </c>
      <c r="N28" s="27"/>
      <c r="O28" s="27"/>
      <c r="P28" s="33"/>
      <c r="Q28" s="29"/>
      <c r="R28" s="29"/>
    </row>
    <row r="29" spans="1:18" ht="72">
      <c r="A29" s="82">
        <v>23</v>
      </c>
      <c r="B29" s="6" t="s">
        <v>75</v>
      </c>
      <c r="C29" s="20"/>
      <c r="D29" s="31" t="s">
        <v>40</v>
      </c>
      <c r="E29" s="90" t="s">
        <v>208</v>
      </c>
      <c r="F29" s="35">
        <f>58032*80</f>
        <v>4642560</v>
      </c>
      <c r="G29" s="19" t="s">
        <v>23</v>
      </c>
      <c r="H29" s="19" t="s">
        <v>41</v>
      </c>
      <c r="I29" s="19">
        <v>1399</v>
      </c>
      <c r="J29" s="19" t="s">
        <v>25</v>
      </c>
      <c r="K29" s="131">
        <v>1</v>
      </c>
      <c r="L29" s="19"/>
      <c r="M29" s="22" t="s">
        <v>33</v>
      </c>
      <c r="N29" s="22"/>
      <c r="O29" s="27"/>
      <c r="P29" s="33"/>
      <c r="Q29" s="29"/>
      <c r="R29" s="29"/>
    </row>
    <row r="30" spans="1:18" ht="126">
      <c r="A30" s="82">
        <v>24</v>
      </c>
      <c r="B30" s="6" t="s">
        <v>75</v>
      </c>
      <c r="C30" s="20"/>
      <c r="D30" s="31" t="s">
        <v>40</v>
      </c>
      <c r="E30" s="90" t="s">
        <v>215</v>
      </c>
      <c r="F30" s="35" t="s">
        <v>17</v>
      </c>
      <c r="G30" s="19" t="s">
        <v>17</v>
      </c>
      <c r="H30" s="19" t="s">
        <v>17</v>
      </c>
      <c r="I30" s="19">
        <v>1399</v>
      </c>
      <c r="J30" s="19" t="s">
        <v>25</v>
      </c>
      <c r="K30" s="131">
        <v>1</v>
      </c>
      <c r="L30" s="19"/>
      <c r="M30" s="22" t="s">
        <v>33</v>
      </c>
      <c r="N30" s="22"/>
      <c r="O30" s="27"/>
      <c r="P30" s="76" t="s">
        <v>324</v>
      </c>
      <c r="Q30" s="29"/>
      <c r="R30" s="29"/>
    </row>
    <row r="31" spans="1:18" ht="72">
      <c r="A31" s="82">
        <v>25</v>
      </c>
      <c r="B31" s="6" t="s">
        <v>75</v>
      </c>
      <c r="C31" s="20"/>
      <c r="D31" s="31" t="s">
        <v>40</v>
      </c>
      <c r="E31" s="90" t="s">
        <v>241</v>
      </c>
      <c r="F31" s="35">
        <f>3*848904</f>
        <v>2546712</v>
      </c>
      <c r="G31" s="19" t="s">
        <v>23</v>
      </c>
      <c r="H31" s="19" t="s">
        <v>41</v>
      </c>
      <c r="I31" s="19">
        <v>1399</v>
      </c>
      <c r="J31" s="19" t="s">
        <v>25</v>
      </c>
      <c r="K31" s="131">
        <v>1</v>
      </c>
      <c r="L31" s="19"/>
      <c r="M31" s="22" t="s">
        <v>33</v>
      </c>
      <c r="N31" s="22"/>
      <c r="O31" s="27"/>
      <c r="P31" s="76"/>
      <c r="Q31" s="29"/>
      <c r="R31" s="29"/>
    </row>
    <row r="32" spans="1:18" ht="90">
      <c r="A32" s="82">
        <v>26</v>
      </c>
      <c r="B32" s="6" t="s">
        <v>75</v>
      </c>
      <c r="C32" s="20"/>
      <c r="D32" s="31" t="s">
        <v>40</v>
      </c>
      <c r="E32" s="90" t="s">
        <v>310</v>
      </c>
      <c r="F32" s="185">
        <f>3*223200</f>
        <v>669600</v>
      </c>
      <c r="G32" s="19" t="s">
        <v>23</v>
      </c>
      <c r="H32" s="19" t="s">
        <v>41</v>
      </c>
      <c r="I32" s="19">
        <v>1399</v>
      </c>
      <c r="J32" s="19" t="s">
        <v>25</v>
      </c>
      <c r="K32" s="131">
        <v>1</v>
      </c>
      <c r="L32" s="649" t="s">
        <v>947</v>
      </c>
      <c r="M32" s="22" t="s">
        <v>33</v>
      </c>
      <c r="N32" s="22" t="s">
        <v>325</v>
      </c>
      <c r="O32" s="22" t="s">
        <v>972</v>
      </c>
      <c r="P32" s="19"/>
      <c r="Q32" s="29"/>
      <c r="R32" s="29"/>
    </row>
    <row r="33" spans="1:35" ht="61.9" customHeight="1">
      <c r="A33" s="82">
        <v>27</v>
      </c>
      <c r="B33" s="6" t="s">
        <v>75</v>
      </c>
      <c r="C33" s="20"/>
      <c r="D33" s="31" t="s">
        <v>40</v>
      </c>
      <c r="E33" s="90" t="s">
        <v>188</v>
      </c>
      <c r="F33" s="185">
        <f>5*404438</f>
        <v>2022190</v>
      </c>
      <c r="G33" s="19" t="s">
        <v>23</v>
      </c>
      <c r="H33" s="19" t="s">
        <v>41</v>
      </c>
      <c r="I33" s="19">
        <v>1399</v>
      </c>
      <c r="J33" s="19" t="s">
        <v>25</v>
      </c>
      <c r="K33" s="131">
        <v>1</v>
      </c>
      <c r="L33" s="649" t="s">
        <v>947</v>
      </c>
      <c r="M33" s="22" t="s">
        <v>33</v>
      </c>
      <c r="N33" s="22" t="s">
        <v>325</v>
      </c>
      <c r="O33" s="22" t="s">
        <v>972</v>
      </c>
      <c r="P33" s="33"/>
      <c r="Q33" s="29"/>
      <c r="R33" s="29"/>
    </row>
    <row r="34" spans="1:35" ht="72">
      <c r="A34" s="82">
        <v>28</v>
      </c>
      <c r="B34" s="6" t="s">
        <v>75</v>
      </c>
      <c r="C34" s="20"/>
      <c r="D34" s="31" t="s">
        <v>40</v>
      </c>
      <c r="E34" s="90" t="s">
        <v>311</v>
      </c>
      <c r="F34" s="185">
        <f>810*148</f>
        <v>119880</v>
      </c>
      <c r="G34" s="19" t="s">
        <v>23</v>
      </c>
      <c r="H34" s="19" t="s">
        <v>41</v>
      </c>
      <c r="I34" s="19">
        <v>1399</v>
      </c>
      <c r="J34" s="19" t="s">
        <v>25</v>
      </c>
      <c r="K34" s="131">
        <v>1</v>
      </c>
      <c r="L34" s="19"/>
      <c r="M34" s="22" t="s">
        <v>312</v>
      </c>
      <c r="N34" s="22"/>
      <c r="O34" s="27"/>
      <c r="P34" s="33"/>
      <c r="Q34" s="29"/>
      <c r="R34" s="29"/>
    </row>
    <row r="35" spans="1:35" ht="90">
      <c r="A35" s="82">
        <v>29</v>
      </c>
      <c r="B35" s="6" t="s">
        <v>75</v>
      </c>
      <c r="C35" s="20"/>
      <c r="D35" s="31" t="s">
        <v>40</v>
      </c>
      <c r="E35" s="90" t="s">
        <v>86</v>
      </c>
      <c r="F35" s="185">
        <f>2* 375000</f>
        <v>750000</v>
      </c>
      <c r="G35" s="19" t="s">
        <v>23</v>
      </c>
      <c r="H35" s="19" t="s">
        <v>41</v>
      </c>
      <c r="I35" s="19">
        <v>1399</v>
      </c>
      <c r="J35" s="19" t="s">
        <v>25</v>
      </c>
      <c r="K35" s="131">
        <v>1</v>
      </c>
      <c r="L35" s="649" t="s">
        <v>947</v>
      </c>
      <c r="M35" s="22" t="s">
        <v>33</v>
      </c>
      <c r="N35" s="22" t="s">
        <v>325</v>
      </c>
      <c r="O35" s="22" t="s">
        <v>972</v>
      </c>
      <c r="P35" s="19"/>
      <c r="Q35" s="29"/>
      <c r="R35" s="29"/>
    </row>
    <row r="36" spans="1:35" ht="54.75" customHeight="1">
      <c r="A36" s="82">
        <v>30</v>
      </c>
      <c r="B36" s="6" t="s">
        <v>75</v>
      </c>
      <c r="C36" s="20"/>
      <c r="D36" s="31" t="s">
        <v>40</v>
      </c>
      <c r="E36" s="90" t="s">
        <v>238</v>
      </c>
      <c r="F36" s="35">
        <f>28* 22320</f>
        <v>624960</v>
      </c>
      <c r="G36" s="19" t="s">
        <v>23</v>
      </c>
      <c r="H36" s="19" t="s">
        <v>41</v>
      </c>
      <c r="I36" s="19">
        <v>1399</v>
      </c>
      <c r="J36" s="19" t="s">
        <v>25</v>
      </c>
      <c r="K36" s="131">
        <v>1</v>
      </c>
      <c r="L36" s="19"/>
      <c r="M36" s="22" t="s">
        <v>33</v>
      </c>
      <c r="N36" s="22"/>
      <c r="O36" s="27"/>
      <c r="P36" s="33"/>
      <c r="Q36" s="29"/>
      <c r="R36" s="29"/>
    </row>
    <row r="37" spans="1:35" ht="72">
      <c r="A37" s="82">
        <v>31</v>
      </c>
      <c r="B37" s="6" t="s">
        <v>75</v>
      </c>
      <c r="C37" s="20"/>
      <c r="D37" s="31" t="s">
        <v>40</v>
      </c>
      <c r="E37" s="90" t="s">
        <v>162</v>
      </c>
      <c r="F37" s="35">
        <f>20*3645</f>
        <v>72900</v>
      </c>
      <c r="G37" s="19" t="s">
        <v>23</v>
      </c>
      <c r="H37" s="19" t="s">
        <v>41</v>
      </c>
      <c r="I37" s="19">
        <v>1399</v>
      </c>
      <c r="J37" s="19" t="s">
        <v>25</v>
      </c>
      <c r="K37" s="131">
        <v>1</v>
      </c>
      <c r="L37" s="19"/>
      <c r="M37" s="22" t="s">
        <v>33</v>
      </c>
      <c r="N37" s="22"/>
      <c r="O37" s="27"/>
      <c r="P37" s="33"/>
      <c r="Q37" s="29"/>
      <c r="R37" s="29"/>
    </row>
    <row r="38" spans="1:35" ht="72">
      <c r="A38" s="82">
        <v>32</v>
      </c>
      <c r="B38" s="6" t="s">
        <v>75</v>
      </c>
      <c r="C38" s="20"/>
      <c r="D38" s="31" t="s">
        <v>40</v>
      </c>
      <c r="E38" s="90" t="s">
        <v>163</v>
      </c>
      <c r="F38" s="35">
        <f>2*44640</f>
        <v>89280</v>
      </c>
      <c r="G38" s="19" t="s">
        <v>23</v>
      </c>
      <c r="H38" s="19" t="s">
        <v>41</v>
      </c>
      <c r="I38" s="19">
        <v>1399</v>
      </c>
      <c r="J38" s="19" t="s">
        <v>25</v>
      </c>
      <c r="K38" s="131">
        <v>1</v>
      </c>
      <c r="L38" s="19"/>
      <c r="M38" s="22" t="s">
        <v>33</v>
      </c>
      <c r="N38" s="22"/>
      <c r="O38" s="27"/>
      <c r="P38" s="33"/>
      <c r="Q38" s="29"/>
      <c r="R38" s="29"/>
      <c r="X38" s="806"/>
      <c r="Y38" s="806"/>
      <c r="Z38" s="806"/>
      <c r="AA38" s="806"/>
      <c r="AB38" s="806"/>
      <c r="AC38" s="806"/>
      <c r="AD38" s="806"/>
      <c r="AE38" s="806"/>
      <c r="AF38" s="806"/>
      <c r="AG38" s="806"/>
      <c r="AH38" s="806"/>
      <c r="AI38" s="806"/>
    </row>
    <row r="39" spans="1:35" ht="72">
      <c r="A39" s="82">
        <v>33</v>
      </c>
      <c r="B39" s="6" t="s">
        <v>75</v>
      </c>
      <c r="C39" s="20"/>
      <c r="D39" s="31" t="s">
        <v>40</v>
      </c>
      <c r="E39" s="90" t="s">
        <v>46</v>
      </c>
      <c r="F39" s="35">
        <f>5*52471</f>
        <v>262355</v>
      </c>
      <c r="G39" s="19" t="s">
        <v>23</v>
      </c>
      <c r="H39" s="19" t="s">
        <v>41</v>
      </c>
      <c r="I39" s="19">
        <v>1399</v>
      </c>
      <c r="J39" s="19" t="s">
        <v>25</v>
      </c>
      <c r="K39" s="131">
        <v>1</v>
      </c>
      <c r="L39" s="19"/>
      <c r="M39" s="22" t="s">
        <v>33</v>
      </c>
      <c r="N39" s="22"/>
      <c r="O39" s="27"/>
      <c r="P39" s="33"/>
      <c r="Q39" s="29"/>
      <c r="R39" s="29"/>
    </row>
    <row r="40" spans="1:35" ht="72">
      <c r="A40" s="82">
        <v>34</v>
      </c>
      <c r="B40" s="6" t="s">
        <v>75</v>
      </c>
      <c r="C40" s="20"/>
      <c r="D40" s="31" t="s">
        <v>40</v>
      </c>
      <c r="E40" s="90" t="s">
        <v>137</v>
      </c>
      <c r="F40" s="35">
        <f>100* 1518</f>
        <v>151800</v>
      </c>
      <c r="G40" s="19" t="s">
        <v>23</v>
      </c>
      <c r="H40" s="19" t="s">
        <v>41</v>
      </c>
      <c r="I40" s="19">
        <v>1399</v>
      </c>
      <c r="J40" s="19" t="s">
        <v>25</v>
      </c>
      <c r="K40" s="131">
        <v>1</v>
      </c>
      <c r="L40" s="19"/>
      <c r="M40" s="22" t="s">
        <v>33</v>
      </c>
      <c r="N40" s="22"/>
      <c r="O40" s="27"/>
      <c r="P40" s="19"/>
      <c r="Q40" s="29"/>
      <c r="R40" s="29"/>
    </row>
    <row r="41" spans="1:35" ht="72">
      <c r="A41" s="82">
        <v>35</v>
      </c>
      <c r="B41" s="6" t="s">
        <v>75</v>
      </c>
      <c r="C41" s="20"/>
      <c r="D41" s="31" t="s">
        <v>40</v>
      </c>
      <c r="E41" s="90" t="s">
        <v>90</v>
      </c>
      <c r="F41" s="35">
        <f>1*42514</f>
        <v>42514</v>
      </c>
      <c r="G41" s="19" t="s">
        <v>23</v>
      </c>
      <c r="H41" s="19" t="s">
        <v>41</v>
      </c>
      <c r="I41" s="19">
        <v>1399</v>
      </c>
      <c r="J41" s="19" t="s">
        <v>25</v>
      </c>
      <c r="K41" s="131">
        <v>1</v>
      </c>
      <c r="L41" s="19"/>
      <c r="M41" s="22" t="s">
        <v>33</v>
      </c>
      <c r="N41" s="22"/>
      <c r="O41" s="27"/>
      <c r="P41" s="33"/>
      <c r="Q41" s="29"/>
      <c r="R41" s="29"/>
    </row>
    <row r="42" spans="1:35" ht="72">
      <c r="A42" s="82">
        <v>36</v>
      </c>
      <c r="B42" s="6" t="s">
        <v>75</v>
      </c>
      <c r="C42" s="20"/>
      <c r="D42" s="31" t="s">
        <v>40</v>
      </c>
      <c r="E42" s="22" t="s">
        <v>313</v>
      </c>
      <c r="F42" s="35">
        <f>50*1041</f>
        <v>52050</v>
      </c>
      <c r="G42" s="19" t="s">
        <v>23</v>
      </c>
      <c r="H42" s="19" t="s">
        <v>41</v>
      </c>
      <c r="I42" s="19">
        <v>1399</v>
      </c>
      <c r="J42" s="19" t="s">
        <v>25</v>
      </c>
      <c r="K42" s="131">
        <v>1</v>
      </c>
      <c r="L42" s="19"/>
      <c r="M42" s="22" t="s">
        <v>33</v>
      </c>
      <c r="N42" s="22"/>
      <c r="O42" s="27"/>
      <c r="P42" s="33"/>
      <c r="Q42" s="29"/>
      <c r="R42" s="29"/>
    </row>
    <row r="43" spans="1:35" ht="72">
      <c r="A43" s="82">
        <v>37</v>
      </c>
      <c r="B43" s="6" t="s">
        <v>75</v>
      </c>
      <c r="C43" s="20"/>
      <c r="D43" s="31" t="s">
        <v>40</v>
      </c>
      <c r="E43" s="22" t="s">
        <v>153</v>
      </c>
      <c r="F43" s="35">
        <f xml:space="preserve"> 729 *100</f>
        <v>72900</v>
      </c>
      <c r="G43" s="19" t="s">
        <v>23</v>
      </c>
      <c r="H43" s="19" t="s">
        <v>41</v>
      </c>
      <c r="I43" s="19">
        <v>1399</v>
      </c>
      <c r="J43" s="19" t="s">
        <v>25</v>
      </c>
      <c r="K43" s="131">
        <v>1</v>
      </c>
      <c r="L43" s="19"/>
      <c r="M43" s="22" t="s">
        <v>33</v>
      </c>
      <c r="N43" s="22"/>
      <c r="O43" s="27"/>
      <c r="P43" s="33"/>
      <c r="Q43" s="29"/>
      <c r="R43" s="29"/>
    </row>
    <row r="44" spans="1:35" ht="72">
      <c r="A44" s="82">
        <v>38</v>
      </c>
      <c r="B44" s="6" t="s">
        <v>75</v>
      </c>
      <c r="C44" s="20"/>
      <c r="D44" s="31" t="s">
        <v>40</v>
      </c>
      <c r="E44" s="22" t="s">
        <v>93</v>
      </c>
      <c r="F44" s="35">
        <f>911*100</f>
        <v>91100</v>
      </c>
      <c r="G44" s="19" t="s">
        <v>23</v>
      </c>
      <c r="H44" s="19" t="s">
        <v>41</v>
      </c>
      <c r="I44" s="19">
        <v>1399</v>
      </c>
      <c r="J44" s="19" t="s">
        <v>25</v>
      </c>
      <c r="K44" s="131">
        <v>1</v>
      </c>
      <c r="L44" s="19"/>
      <c r="M44" s="22" t="s">
        <v>33</v>
      </c>
      <c r="N44" s="22"/>
      <c r="O44" s="27"/>
      <c r="P44" s="33"/>
      <c r="Q44" s="29"/>
      <c r="R44" s="29"/>
    </row>
    <row r="45" spans="1:35" ht="72">
      <c r="A45" s="82">
        <v>39</v>
      </c>
      <c r="B45" s="6" t="s">
        <v>75</v>
      </c>
      <c r="C45" s="20"/>
      <c r="D45" s="31" t="s">
        <v>40</v>
      </c>
      <c r="E45" s="90" t="s">
        <v>234</v>
      </c>
      <c r="F45" s="35">
        <f>500*315</f>
        <v>157500</v>
      </c>
      <c r="G45" s="19" t="s">
        <v>23</v>
      </c>
      <c r="H45" s="19" t="s">
        <v>41</v>
      </c>
      <c r="I45" s="19">
        <v>1399</v>
      </c>
      <c r="J45" s="19" t="s">
        <v>25</v>
      </c>
      <c r="K45" s="131">
        <v>1</v>
      </c>
      <c r="L45" s="19"/>
      <c r="M45" s="22" t="s">
        <v>33</v>
      </c>
      <c r="N45" s="22"/>
      <c r="O45" s="27"/>
      <c r="P45" s="33"/>
      <c r="Q45" s="29"/>
      <c r="R45" s="29"/>
    </row>
    <row r="46" spans="1:35" ht="90">
      <c r="A46" s="82">
        <v>40</v>
      </c>
      <c r="B46" s="6" t="s">
        <v>75</v>
      </c>
      <c r="C46" s="20"/>
      <c r="D46" s="31" t="s">
        <v>40</v>
      </c>
      <c r="E46" s="90" t="s">
        <v>51</v>
      </c>
      <c r="F46" s="185">
        <f>5* 10416</f>
        <v>52080</v>
      </c>
      <c r="G46" s="19" t="s">
        <v>23</v>
      </c>
      <c r="H46" s="19" t="s">
        <v>41</v>
      </c>
      <c r="I46" s="19">
        <v>1399</v>
      </c>
      <c r="J46" s="19" t="s">
        <v>25</v>
      </c>
      <c r="K46" s="131">
        <v>1</v>
      </c>
      <c r="L46" s="649" t="s">
        <v>947</v>
      </c>
      <c r="M46" s="22" t="s">
        <v>33</v>
      </c>
      <c r="N46" s="22" t="s">
        <v>325</v>
      </c>
      <c r="O46" s="22" t="s">
        <v>972</v>
      </c>
      <c r="P46" s="33"/>
      <c r="Q46" s="29"/>
      <c r="R46" s="29"/>
    </row>
    <row r="47" spans="1:35" ht="72">
      <c r="A47" s="82">
        <v>41</v>
      </c>
      <c r="B47" s="6" t="s">
        <v>75</v>
      </c>
      <c r="C47" s="20"/>
      <c r="D47" s="31" t="s">
        <v>40</v>
      </c>
      <c r="E47" s="90" t="s">
        <v>104</v>
      </c>
      <c r="F47" s="35">
        <f>36456*10</f>
        <v>364560</v>
      </c>
      <c r="G47" s="19" t="s">
        <v>23</v>
      </c>
      <c r="H47" s="19" t="s">
        <v>41</v>
      </c>
      <c r="I47" s="19">
        <v>1399</v>
      </c>
      <c r="J47" s="19" t="s">
        <v>25</v>
      </c>
      <c r="K47" s="131">
        <v>1</v>
      </c>
      <c r="L47" s="19"/>
      <c r="M47" s="22" t="s">
        <v>33</v>
      </c>
      <c r="N47" s="22"/>
      <c r="O47" s="27"/>
      <c r="P47" s="33"/>
      <c r="Q47" s="29"/>
      <c r="R47" s="29"/>
    </row>
    <row r="48" spans="1:35" ht="72">
      <c r="A48" s="82">
        <v>42</v>
      </c>
      <c r="B48" s="6" t="s">
        <v>75</v>
      </c>
      <c r="C48" s="20"/>
      <c r="D48" s="31" t="s">
        <v>40</v>
      </c>
      <c r="E48" s="90" t="s">
        <v>314</v>
      </c>
      <c r="F48" s="35">
        <f>31*40000</f>
        <v>1240000</v>
      </c>
      <c r="G48" s="19" t="s">
        <v>23</v>
      </c>
      <c r="H48" s="19" t="s">
        <v>41</v>
      </c>
      <c r="I48" s="19">
        <v>1399</v>
      </c>
      <c r="J48" s="19" t="s">
        <v>25</v>
      </c>
      <c r="K48" s="131">
        <v>1</v>
      </c>
      <c r="L48" s="19"/>
      <c r="M48" s="22" t="s">
        <v>33</v>
      </c>
      <c r="N48" s="22"/>
      <c r="O48" s="27"/>
      <c r="P48" s="33"/>
      <c r="Q48" s="29"/>
      <c r="R48" s="29"/>
    </row>
    <row r="49" spans="1:18" ht="72">
      <c r="A49" s="82">
        <v>43</v>
      </c>
      <c r="B49" s="6" t="s">
        <v>75</v>
      </c>
      <c r="C49" s="20"/>
      <c r="D49" s="31" t="s">
        <v>40</v>
      </c>
      <c r="E49" s="90" t="s">
        <v>315</v>
      </c>
      <c r="F49" s="35">
        <f>200000*6.4</f>
        <v>1280000</v>
      </c>
      <c r="G49" s="19" t="s">
        <v>23</v>
      </c>
      <c r="H49" s="19" t="s">
        <v>41</v>
      </c>
      <c r="I49" s="19">
        <v>1399</v>
      </c>
      <c r="J49" s="19" t="s">
        <v>25</v>
      </c>
      <c r="K49" s="131">
        <v>1</v>
      </c>
      <c r="L49" s="19"/>
      <c r="M49" s="22" t="s">
        <v>33</v>
      </c>
      <c r="N49" s="22"/>
      <c r="O49" s="27"/>
      <c r="P49" s="33"/>
      <c r="Q49" s="29"/>
      <c r="R49" s="29"/>
    </row>
    <row r="50" spans="1:18" ht="90">
      <c r="A50" s="82">
        <v>44</v>
      </c>
      <c r="B50" s="6" t="s">
        <v>75</v>
      </c>
      <c r="C50" s="20"/>
      <c r="D50" s="31" t="s">
        <v>40</v>
      </c>
      <c r="E50" s="90" t="s">
        <v>139</v>
      </c>
      <c r="F50" s="35">
        <f>15* 38500</f>
        <v>577500</v>
      </c>
      <c r="G50" s="19" t="s">
        <v>23</v>
      </c>
      <c r="H50" s="19" t="s">
        <v>41</v>
      </c>
      <c r="I50" s="19">
        <v>1399</v>
      </c>
      <c r="J50" s="19" t="s">
        <v>25</v>
      </c>
      <c r="K50" s="131">
        <v>1</v>
      </c>
      <c r="L50" s="19"/>
      <c r="M50" s="22" t="s">
        <v>33</v>
      </c>
      <c r="N50" s="22"/>
      <c r="O50" s="27"/>
      <c r="P50" s="33"/>
      <c r="Q50" s="29"/>
      <c r="R50" s="29"/>
    </row>
    <row r="51" spans="1:18" ht="72">
      <c r="A51" s="82">
        <v>45</v>
      </c>
      <c r="B51" s="6" t="s">
        <v>75</v>
      </c>
      <c r="C51" s="20"/>
      <c r="D51" s="31" t="s">
        <v>40</v>
      </c>
      <c r="E51" s="90" t="s">
        <v>316</v>
      </c>
      <c r="F51" s="35">
        <f>40000*10</f>
        <v>400000</v>
      </c>
      <c r="G51" s="19" t="s">
        <v>23</v>
      </c>
      <c r="H51" s="19" t="s">
        <v>41</v>
      </c>
      <c r="I51" s="19">
        <v>1399</v>
      </c>
      <c r="J51" s="19" t="s">
        <v>25</v>
      </c>
      <c r="K51" s="131">
        <v>1</v>
      </c>
      <c r="L51" s="19"/>
      <c r="M51" s="22" t="s">
        <v>33</v>
      </c>
      <c r="N51" s="22"/>
      <c r="O51" s="27"/>
      <c r="P51" s="33"/>
      <c r="Q51" s="29"/>
      <c r="R51" s="29"/>
    </row>
    <row r="52" spans="1:18" ht="93.6" customHeight="1">
      <c r="A52" s="82">
        <v>46</v>
      </c>
      <c r="B52" s="6" t="s">
        <v>75</v>
      </c>
      <c r="C52" s="20"/>
      <c r="D52" s="31" t="s">
        <v>40</v>
      </c>
      <c r="E52" s="90" t="s">
        <v>317</v>
      </c>
      <c r="F52" s="185">
        <f>13*66000</f>
        <v>858000</v>
      </c>
      <c r="G52" s="19" t="s">
        <v>23</v>
      </c>
      <c r="H52" s="19" t="s">
        <v>41</v>
      </c>
      <c r="I52" s="19">
        <v>1399</v>
      </c>
      <c r="J52" s="19" t="s">
        <v>25</v>
      </c>
      <c r="K52" s="131">
        <v>1</v>
      </c>
      <c r="L52" s="649" t="s">
        <v>947</v>
      </c>
      <c r="M52" s="22" t="s">
        <v>33</v>
      </c>
      <c r="N52" s="22" t="s">
        <v>325</v>
      </c>
      <c r="O52" s="22" t="s">
        <v>972</v>
      </c>
      <c r="P52" s="33"/>
      <c r="Q52" s="29"/>
      <c r="R52" s="29"/>
    </row>
    <row r="53" spans="1:18" ht="91.15" customHeight="1">
      <c r="A53" s="82">
        <v>47</v>
      </c>
      <c r="B53" s="6" t="s">
        <v>75</v>
      </c>
      <c r="C53" s="20"/>
      <c r="D53" s="31" t="s">
        <v>40</v>
      </c>
      <c r="E53" s="90" t="s">
        <v>318</v>
      </c>
      <c r="F53" s="185">
        <f>26*30000</f>
        <v>780000</v>
      </c>
      <c r="G53" s="19" t="s">
        <v>23</v>
      </c>
      <c r="H53" s="19" t="s">
        <v>41</v>
      </c>
      <c r="I53" s="19">
        <v>1399</v>
      </c>
      <c r="J53" s="19" t="s">
        <v>25</v>
      </c>
      <c r="K53" s="131">
        <v>1</v>
      </c>
      <c r="L53" s="649" t="s">
        <v>947</v>
      </c>
      <c r="M53" s="22" t="s">
        <v>33</v>
      </c>
      <c r="N53" s="22" t="s">
        <v>325</v>
      </c>
      <c r="O53" s="22" t="s">
        <v>972</v>
      </c>
      <c r="P53" s="33"/>
      <c r="Q53" s="29"/>
      <c r="R53" s="29"/>
    </row>
    <row r="54" spans="1:18" ht="72">
      <c r="A54" s="82">
        <v>48</v>
      </c>
      <c r="B54" s="6" t="s">
        <v>75</v>
      </c>
      <c r="C54" s="20"/>
      <c r="D54" s="65" t="s">
        <v>40</v>
      </c>
      <c r="E54" s="90" t="s">
        <v>105</v>
      </c>
      <c r="F54" s="35">
        <f>26*30000</f>
        <v>780000</v>
      </c>
      <c r="G54" s="19" t="s">
        <v>23</v>
      </c>
      <c r="H54" s="19" t="s">
        <v>41</v>
      </c>
      <c r="I54" s="19">
        <v>1399</v>
      </c>
      <c r="J54" s="19" t="s">
        <v>25</v>
      </c>
      <c r="K54" s="131">
        <v>1</v>
      </c>
      <c r="L54" s="19"/>
      <c r="M54" s="22" t="s">
        <v>33</v>
      </c>
      <c r="N54" s="22"/>
      <c r="O54" s="27"/>
      <c r="P54" s="33"/>
      <c r="Q54" s="29"/>
      <c r="R54" s="29"/>
    </row>
    <row r="55" spans="1:18" ht="102.6" customHeight="1">
      <c r="A55" s="82">
        <v>49</v>
      </c>
      <c r="B55" s="6" t="s">
        <v>75</v>
      </c>
      <c r="C55" s="20"/>
      <c r="D55" s="65" t="s">
        <v>40</v>
      </c>
      <c r="E55" s="90" t="s">
        <v>107</v>
      </c>
      <c r="F55" s="185">
        <f>1690*900</f>
        <v>1521000</v>
      </c>
      <c r="G55" s="19" t="s">
        <v>23</v>
      </c>
      <c r="H55" s="19" t="s">
        <v>41</v>
      </c>
      <c r="I55" s="19">
        <v>1399</v>
      </c>
      <c r="J55" s="19" t="s">
        <v>25</v>
      </c>
      <c r="K55" s="131">
        <v>1</v>
      </c>
      <c r="L55" s="19" t="s">
        <v>947</v>
      </c>
      <c r="M55" s="22" t="s">
        <v>33</v>
      </c>
      <c r="N55" s="22" t="s">
        <v>325</v>
      </c>
      <c r="O55" s="22" t="s">
        <v>972</v>
      </c>
      <c r="P55" s="33"/>
      <c r="Q55" s="29"/>
      <c r="R55" s="29"/>
    </row>
    <row r="56" spans="1:18" ht="90">
      <c r="A56" s="82">
        <v>50</v>
      </c>
      <c r="B56" s="6" t="s">
        <v>75</v>
      </c>
      <c r="C56" s="20"/>
      <c r="D56" s="63" t="s">
        <v>76</v>
      </c>
      <c r="E56" s="76" t="s">
        <v>319</v>
      </c>
      <c r="F56" s="35">
        <v>206264690</v>
      </c>
      <c r="G56" s="19" t="s">
        <v>23</v>
      </c>
      <c r="H56" s="22" t="s">
        <v>77</v>
      </c>
      <c r="I56" s="19">
        <v>1399</v>
      </c>
      <c r="J56" s="22" t="s">
        <v>25</v>
      </c>
      <c r="K56" s="60">
        <v>1</v>
      </c>
      <c r="L56" s="33"/>
      <c r="M56" s="22" t="s">
        <v>33</v>
      </c>
      <c r="N56" s="33"/>
      <c r="O56" s="33"/>
      <c r="P56" s="33"/>
    </row>
    <row r="57" spans="1:18" s="5" customFormat="1" ht="78">
      <c r="A57" s="82">
        <v>51</v>
      </c>
      <c r="B57" s="6" t="s">
        <v>75</v>
      </c>
      <c r="C57" s="354" t="s">
        <v>1106</v>
      </c>
      <c r="D57" s="468" t="s">
        <v>168</v>
      </c>
      <c r="E57" s="22" t="s">
        <v>213</v>
      </c>
      <c r="F57" s="35">
        <v>5202900</v>
      </c>
      <c r="G57" s="649" t="s">
        <v>23</v>
      </c>
      <c r="H57" s="649" t="s">
        <v>77</v>
      </c>
      <c r="I57" s="649">
        <v>1399</v>
      </c>
      <c r="J57" s="649" t="s">
        <v>25</v>
      </c>
      <c r="K57" s="60" t="s">
        <v>599</v>
      </c>
      <c r="L57" s="480"/>
      <c r="M57" s="22"/>
      <c r="N57" s="492" t="s">
        <v>2139</v>
      </c>
      <c r="O57" s="492"/>
      <c r="P57" s="480"/>
    </row>
    <row r="58" spans="1:18" s="5" customFormat="1" ht="54">
      <c r="A58" s="82">
        <v>52</v>
      </c>
      <c r="B58" s="6" t="s">
        <v>75</v>
      </c>
      <c r="C58" s="354" t="s">
        <v>1106</v>
      </c>
      <c r="D58" s="468" t="s">
        <v>168</v>
      </c>
      <c r="E58" s="22" t="s">
        <v>1107</v>
      </c>
      <c r="F58" s="35">
        <v>56000</v>
      </c>
      <c r="G58" s="467" t="s">
        <v>23</v>
      </c>
      <c r="H58" s="467" t="s">
        <v>77</v>
      </c>
      <c r="I58" s="467">
        <v>1399</v>
      </c>
      <c r="J58" s="467" t="s">
        <v>25</v>
      </c>
      <c r="K58" s="60">
        <v>1</v>
      </c>
      <c r="L58" s="480"/>
      <c r="M58" s="22" t="s">
        <v>33</v>
      </c>
      <c r="N58" s="492"/>
      <c r="O58" s="492"/>
      <c r="P58" s="480"/>
    </row>
    <row r="59" spans="1:18" s="5" customFormat="1" ht="108">
      <c r="A59" s="82">
        <v>53</v>
      </c>
      <c r="B59" s="6" t="s">
        <v>75</v>
      </c>
      <c r="C59" s="458" t="s">
        <v>1108</v>
      </c>
      <c r="D59" s="468" t="s">
        <v>111</v>
      </c>
      <c r="E59" s="22" t="s">
        <v>1109</v>
      </c>
      <c r="F59" s="35">
        <v>415000</v>
      </c>
      <c r="G59" s="467" t="s">
        <v>23</v>
      </c>
      <c r="H59" s="467" t="s">
        <v>77</v>
      </c>
      <c r="I59" s="467">
        <v>1399</v>
      </c>
      <c r="J59" s="467" t="s">
        <v>25</v>
      </c>
      <c r="K59" s="60">
        <v>1</v>
      </c>
      <c r="L59" s="480"/>
      <c r="M59" s="22" t="s">
        <v>33</v>
      </c>
      <c r="N59" s="492"/>
      <c r="O59" s="492"/>
      <c r="P59" s="480"/>
    </row>
    <row r="60" spans="1:18" s="5" customFormat="1" ht="54">
      <c r="A60" s="82">
        <v>54</v>
      </c>
      <c r="B60" s="6" t="s">
        <v>75</v>
      </c>
      <c r="C60" s="354" t="s">
        <v>1110</v>
      </c>
      <c r="D60" s="468" t="s">
        <v>111</v>
      </c>
      <c r="E60" s="22" t="s">
        <v>214</v>
      </c>
      <c r="F60" s="35">
        <v>160000</v>
      </c>
      <c r="G60" s="467" t="s">
        <v>23</v>
      </c>
      <c r="H60" s="467" t="s">
        <v>77</v>
      </c>
      <c r="I60" s="467">
        <v>1399</v>
      </c>
      <c r="J60" s="467" t="s">
        <v>25</v>
      </c>
      <c r="K60" s="60">
        <v>1</v>
      </c>
      <c r="L60" s="480"/>
      <c r="M60" s="22" t="s">
        <v>33</v>
      </c>
      <c r="N60" s="492"/>
      <c r="O60" s="492"/>
      <c r="P60" s="480"/>
    </row>
    <row r="61" spans="1:18" s="5" customFormat="1" ht="72">
      <c r="A61" s="82">
        <v>55</v>
      </c>
      <c r="B61" s="6" t="s">
        <v>75</v>
      </c>
      <c r="C61" s="354" t="s">
        <v>1111</v>
      </c>
      <c r="D61" s="462" t="s">
        <v>156</v>
      </c>
      <c r="E61" s="40" t="s">
        <v>1112</v>
      </c>
      <c r="F61" s="35">
        <v>1255148</v>
      </c>
      <c r="G61" s="467" t="s">
        <v>23</v>
      </c>
      <c r="H61" s="467" t="s">
        <v>77</v>
      </c>
      <c r="I61" s="467">
        <v>1399</v>
      </c>
      <c r="J61" s="467" t="s">
        <v>25</v>
      </c>
      <c r="K61" s="60">
        <v>1</v>
      </c>
      <c r="L61" s="480"/>
      <c r="M61" s="22" t="s">
        <v>71</v>
      </c>
      <c r="N61" s="492"/>
      <c r="O61" s="492"/>
      <c r="P61" s="480"/>
    </row>
    <row r="62" spans="1:18" s="559" customFormat="1" ht="61.5" customHeight="1">
      <c r="A62" s="82">
        <v>56</v>
      </c>
      <c r="B62" s="6" t="s">
        <v>75</v>
      </c>
      <c r="C62" s="354"/>
      <c r="D62" s="196" t="s">
        <v>73</v>
      </c>
      <c r="E62" s="22" t="s">
        <v>142</v>
      </c>
      <c r="F62" s="35">
        <v>1282840</v>
      </c>
      <c r="G62" s="561" t="s">
        <v>23</v>
      </c>
      <c r="H62" s="561" t="s">
        <v>77</v>
      </c>
      <c r="I62" s="561">
        <v>1399</v>
      </c>
      <c r="J62" s="561" t="s">
        <v>25</v>
      </c>
      <c r="K62" s="289"/>
      <c r="L62" s="560" t="s">
        <v>72</v>
      </c>
      <c r="M62" s="22"/>
      <c r="N62" s="623" t="s">
        <v>581</v>
      </c>
      <c r="O62" s="623" t="s">
        <v>1832</v>
      </c>
      <c r="P62" s="560"/>
    </row>
    <row r="63" spans="1:18" ht="18">
      <c r="E63" s="22"/>
      <c r="P63" s="4" t="s">
        <v>17</v>
      </c>
    </row>
  </sheetData>
  <autoFilter ref="D1:D63"/>
  <mergeCells count="16">
    <mergeCell ref="X38:AI38"/>
    <mergeCell ref="D26:D27"/>
    <mergeCell ref="A1:P4"/>
    <mergeCell ref="N5:N6"/>
    <mergeCell ref="O5:O6"/>
    <mergeCell ref="P5:P6"/>
    <mergeCell ref="A5:A6"/>
    <mergeCell ref="B5:B6"/>
    <mergeCell ref="C5:C6"/>
    <mergeCell ref="D5:D6"/>
    <mergeCell ref="E5:E6"/>
    <mergeCell ref="F5:H5"/>
    <mergeCell ref="I5:I6"/>
    <mergeCell ref="J5:J6"/>
    <mergeCell ref="K5:K6"/>
    <mergeCell ref="L5:M5"/>
  </mergeCells>
  <printOptions horizontalCentered="1"/>
  <pageMargins left="0.2" right="0.2" top="0.5" bottom="0.5" header="0.3" footer="0.3"/>
  <pageSetup paperSize="9" scale="61"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sheetPr>
    <tabColor rgb="FF92D050"/>
  </sheetPr>
  <dimension ref="A1:R42"/>
  <sheetViews>
    <sheetView rightToLeft="1" view="pageBreakPreview" zoomScale="79" zoomScaleSheetLayoutView="79" workbookViewId="0">
      <pane xSplit="1" ySplit="6" topLeftCell="B34" activePane="bottomRight" state="frozen"/>
      <selection pane="topRight" activeCell="B1" sqref="B1"/>
      <selection pane="bottomLeft" activeCell="A4" sqref="A4"/>
      <selection pane="bottomRight" activeCell="K41" sqref="K41"/>
    </sheetView>
  </sheetViews>
  <sheetFormatPr defaultColWidth="9.140625" defaultRowHeight="15"/>
  <cols>
    <col min="1" max="1" width="6" style="1" customWidth="1"/>
    <col min="2" max="2" width="17.5703125" style="10" customWidth="1"/>
    <col min="3" max="3" width="10.7109375" style="10" customWidth="1"/>
    <col min="4" max="4" width="19.5703125" style="10" customWidth="1"/>
    <col min="5" max="5" width="33.5703125" style="10" customWidth="1"/>
    <col min="6" max="6" width="16.140625" style="2" customWidth="1"/>
    <col min="7" max="7" width="8.7109375" style="2" customWidth="1"/>
    <col min="8" max="8" width="12.85546875" style="2" customWidth="1"/>
    <col min="9" max="9" width="10.140625" style="1" customWidth="1"/>
    <col min="10" max="10" width="12.140625" style="11" customWidth="1"/>
    <col min="11" max="11" width="11.28515625" style="1" customWidth="1"/>
    <col min="12" max="12" width="11.85546875" style="11" customWidth="1"/>
    <col min="13" max="13" width="13.85546875" style="11" customWidth="1"/>
    <col min="14" max="14" width="19.7109375" style="11" customWidth="1"/>
    <col min="15" max="15" width="16.28515625" style="11" customWidth="1"/>
    <col min="16" max="16" width="20.28515625" style="145" customWidth="1"/>
    <col min="17" max="16384" width="9.140625" style="145"/>
  </cols>
  <sheetData>
    <row r="1" spans="1:16" ht="15" customHeight="1">
      <c r="A1" s="788" t="s">
        <v>1944</v>
      </c>
      <c r="B1" s="789"/>
      <c r="C1" s="789"/>
      <c r="D1" s="789"/>
      <c r="E1" s="789"/>
      <c r="F1" s="789"/>
      <c r="G1" s="789"/>
      <c r="H1" s="789"/>
      <c r="I1" s="789"/>
      <c r="J1" s="789"/>
      <c r="K1" s="789"/>
      <c r="L1" s="789"/>
      <c r="M1" s="789"/>
      <c r="N1" s="789"/>
      <c r="O1" s="789"/>
      <c r="P1" s="789"/>
    </row>
    <row r="2" spans="1:16" ht="15" customHeight="1">
      <c r="A2" s="789"/>
      <c r="B2" s="789"/>
      <c r="C2" s="789"/>
      <c r="D2" s="789"/>
      <c r="E2" s="789"/>
      <c r="F2" s="789"/>
      <c r="G2" s="789"/>
      <c r="H2" s="789"/>
      <c r="I2" s="789"/>
      <c r="J2" s="789"/>
      <c r="K2" s="789"/>
      <c r="L2" s="789"/>
      <c r="M2" s="789"/>
      <c r="N2" s="789"/>
      <c r="O2" s="789"/>
      <c r="P2" s="789"/>
    </row>
    <row r="3" spans="1:16" ht="15" customHeight="1">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29.45" customHeight="1">
      <c r="A5" s="792" t="s">
        <v>0</v>
      </c>
      <c r="B5" s="792" t="s">
        <v>14</v>
      </c>
      <c r="C5" s="792" t="s">
        <v>18</v>
      </c>
      <c r="D5" s="792" t="s">
        <v>1</v>
      </c>
      <c r="E5" s="792" t="s">
        <v>15</v>
      </c>
      <c r="F5" s="792" t="s">
        <v>9</v>
      </c>
      <c r="G5" s="792"/>
      <c r="H5" s="792"/>
      <c r="I5" s="792" t="s">
        <v>7</v>
      </c>
      <c r="J5" s="792" t="s">
        <v>6</v>
      </c>
      <c r="K5" s="792" t="s">
        <v>16</v>
      </c>
      <c r="L5" s="792" t="s">
        <v>2</v>
      </c>
      <c r="M5" s="792"/>
      <c r="N5" s="792" t="s">
        <v>5</v>
      </c>
      <c r="O5" s="792" t="s">
        <v>13</v>
      </c>
      <c r="P5" s="792" t="s">
        <v>8</v>
      </c>
    </row>
    <row r="6" spans="1:16" ht="35.450000000000003" customHeight="1">
      <c r="A6" s="792"/>
      <c r="B6" s="792"/>
      <c r="C6" s="792"/>
      <c r="D6" s="792"/>
      <c r="E6" s="792"/>
      <c r="F6" s="148" t="s">
        <v>10</v>
      </c>
      <c r="G6" s="148" t="s">
        <v>11</v>
      </c>
      <c r="H6" s="148" t="s">
        <v>12</v>
      </c>
      <c r="I6" s="792"/>
      <c r="J6" s="792"/>
      <c r="K6" s="792"/>
      <c r="L6" s="148" t="s">
        <v>3</v>
      </c>
      <c r="M6" s="148" t="s">
        <v>4</v>
      </c>
      <c r="N6" s="792"/>
      <c r="O6" s="792"/>
      <c r="P6" s="792"/>
    </row>
    <row r="7" spans="1:16" s="5" customFormat="1" ht="72">
      <c r="A7" s="354">
        <v>1</v>
      </c>
      <c r="B7" s="6" t="s">
        <v>75</v>
      </c>
      <c r="C7" s="6" t="s">
        <v>579</v>
      </c>
      <c r="D7" s="579" t="s">
        <v>1600</v>
      </c>
      <c r="E7" s="597" t="s">
        <v>1601</v>
      </c>
      <c r="F7" s="838">
        <v>2315000</v>
      </c>
      <c r="G7" s="354" t="s">
        <v>23</v>
      </c>
      <c r="H7" s="354" t="s">
        <v>77</v>
      </c>
      <c r="I7" s="354">
        <v>1399</v>
      </c>
      <c r="J7" s="43" t="s">
        <v>25</v>
      </c>
      <c r="K7" s="48">
        <v>1</v>
      </c>
      <c r="L7" s="180"/>
      <c r="M7" s="694" t="s">
        <v>33</v>
      </c>
      <c r="N7" s="180"/>
      <c r="O7" s="180"/>
      <c r="P7" s="179"/>
    </row>
    <row r="8" spans="1:16" s="5" customFormat="1" ht="45" customHeight="1">
      <c r="A8" s="354">
        <v>2</v>
      </c>
      <c r="B8" s="6" t="s">
        <v>75</v>
      </c>
      <c r="C8" s="6" t="s">
        <v>184</v>
      </c>
      <c r="D8" s="579" t="s">
        <v>1600</v>
      </c>
      <c r="E8" s="597" t="s">
        <v>1602</v>
      </c>
      <c r="F8" s="839"/>
      <c r="G8" s="354" t="s">
        <v>23</v>
      </c>
      <c r="H8" s="354" t="s">
        <v>77</v>
      </c>
      <c r="I8" s="354">
        <v>1399</v>
      </c>
      <c r="J8" s="43" t="s">
        <v>25</v>
      </c>
      <c r="K8" s="48">
        <v>1</v>
      </c>
      <c r="L8" s="180"/>
      <c r="M8" s="694" t="s">
        <v>33</v>
      </c>
      <c r="N8" s="180"/>
      <c r="O8" s="180"/>
      <c r="P8" s="179"/>
    </row>
    <row r="9" spans="1:16" s="5" customFormat="1" ht="72">
      <c r="A9" s="354">
        <v>3</v>
      </c>
      <c r="B9" s="6" t="s">
        <v>75</v>
      </c>
      <c r="C9" s="6" t="s">
        <v>184</v>
      </c>
      <c r="D9" s="579" t="s">
        <v>1600</v>
      </c>
      <c r="E9" s="597" t="s">
        <v>1603</v>
      </c>
      <c r="F9" s="839"/>
      <c r="G9" s="354" t="s">
        <v>23</v>
      </c>
      <c r="H9" s="354" t="s">
        <v>77</v>
      </c>
      <c r="I9" s="354">
        <v>1399</v>
      </c>
      <c r="J9" s="43" t="s">
        <v>25</v>
      </c>
      <c r="K9" s="48">
        <v>1</v>
      </c>
      <c r="L9" s="180"/>
      <c r="M9" s="582" t="s">
        <v>33</v>
      </c>
      <c r="N9" s="180"/>
      <c r="O9" s="180"/>
      <c r="P9" s="179"/>
    </row>
    <row r="10" spans="1:16" s="5" customFormat="1" ht="43.15" customHeight="1">
      <c r="A10" s="354">
        <v>4</v>
      </c>
      <c r="B10" s="6" t="s">
        <v>75</v>
      </c>
      <c r="C10" s="6"/>
      <c r="D10" s="579" t="s">
        <v>1600</v>
      </c>
      <c r="E10" s="579" t="s">
        <v>1604</v>
      </c>
      <c r="F10" s="840"/>
      <c r="G10" s="354" t="s">
        <v>23</v>
      </c>
      <c r="H10" s="354" t="s">
        <v>77</v>
      </c>
      <c r="I10" s="354">
        <v>1399</v>
      </c>
      <c r="J10" s="43" t="s">
        <v>25</v>
      </c>
      <c r="K10" s="48">
        <v>1</v>
      </c>
      <c r="L10" s="180"/>
      <c r="M10" s="694" t="s">
        <v>33</v>
      </c>
      <c r="N10" s="180"/>
      <c r="O10" s="180"/>
      <c r="P10" s="179"/>
    </row>
    <row r="11" spans="1:16" s="5" customFormat="1" ht="61.5" customHeight="1">
      <c r="A11" s="354">
        <v>5</v>
      </c>
      <c r="B11" s="6" t="s">
        <v>75</v>
      </c>
      <c r="C11" s="6" t="s">
        <v>843</v>
      </c>
      <c r="D11" s="579" t="s">
        <v>1605</v>
      </c>
      <c r="E11" s="579" t="s">
        <v>1606</v>
      </c>
      <c r="F11" s="177">
        <v>10477440</v>
      </c>
      <c r="G11" s="354" t="s">
        <v>23</v>
      </c>
      <c r="H11" s="354" t="s">
        <v>77</v>
      </c>
      <c r="I11" s="354">
        <v>1399</v>
      </c>
      <c r="J11" s="43" t="s">
        <v>25</v>
      </c>
      <c r="K11" s="48">
        <v>0.3</v>
      </c>
      <c r="L11" s="180"/>
      <c r="M11" s="582" t="s">
        <v>39</v>
      </c>
      <c r="N11" s="180"/>
      <c r="O11" s="582"/>
      <c r="P11" s="582"/>
    </row>
    <row r="12" spans="1:16" ht="52.15" customHeight="1">
      <c r="A12" s="354">
        <v>6</v>
      </c>
      <c r="B12" s="6" t="s">
        <v>75</v>
      </c>
      <c r="C12" s="6" t="s">
        <v>847</v>
      </c>
      <c r="D12" s="152" t="s">
        <v>28</v>
      </c>
      <c r="E12" s="152" t="s">
        <v>767</v>
      </c>
      <c r="F12" s="177">
        <v>112500</v>
      </c>
      <c r="G12" s="83" t="s">
        <v>23</v>
      </c>
      <c r="H12" s="83" t="s">
        <v>77</v>
      </c>
      <c r="I12" s="83">
        <v>1399</v>
      </c>
      <c r="J12" s="43" t="s">
        <v>25</v>
      </c>
      <c r="K12" s="219">
        <v>1</v>
      </c>
      <c r="L12" s="64"/>
      <c r="M12" s="64" t="s">
        <v>33</v>
      </c>
      <c r="N12" s="64"/>
      <c r="O12" s="64"/>
      <c r="P12" s="149"/>
    </row>
    <row r="13" spans="1:16" ht="57" customHeight="1">
      <c r="A13" s="354">
        <v>7</v>
      </c>
      <c r="B13" s="6" t="s">
        <v>75</v>
      </c>
      <c r="C13" s="90"/>
      <c r="D13" s="40" t="s">
        <v>28</v>
      </c>
      <c r="E13" s="22" t="s">
        <v>846</v>
      </c>
      <c r="F13" s="47">
        <v>2520000</v>
      </c>
      <c r="G13" s="342" t="s">
        <v>23</v>
      </c>
      <c r="H13" s="342" t="s">
        <v>77</v>
      </c>
      <c r="I13" s="342">
        <v>1399</v>
      </c>
      <c r="J13" s="32" t="s">
        <v>25</v>
      </c>
      <c r="K13" s="219">
        <v>1</v>
      </c>
      <c r="L13" s="33"/>
      <c r="M13" s="694" t="s">
        <v>33</v>
      </c>
      <c r="N13" s="33"/>
      <c r="O13" s="33"/>
      <c r="P13" s="33" t="s">
        <v>17</v>
      </c>
    </row>
    <row r="14" spans="1:16" ht="51" customHeight="1">
      <c r="A14" s="354">
        <v>8</v>
      </c>
      <c r="B14" s="6" t="s">
        <v>75</v>
      </c>
      <c r="C14" s="6" t="s">
        <v>845</v>
      </c>
      <c r="D14" s="152" t="s">
        <v>116</v>
      </c>
      <c r="E14" s="65" t="s">
        <v>22</v>
      </c>
      <c r="F14" s="177">
        <v>640000</v>
      </c>
      <c r="G14" s="83" t="s">
        <v>23</v>
      </c>
      <c r="H14" s="83" t="s">
        <v>77</v>
      </c>
      <c r="I14" s="83">
        <v>1399</v>
      </c>
      <c r="J14" s="43" t="s">
        <v>25</v>
      </c>
      <c r="K14" s="219">
        <v>1</v>
      </c>
      <c r="L14" s="64"/>
      <c r="M14" s="694" t="s">
        <v>33</v>
      </c>
      <c r="N14" s="33"/>
      <c r="O14" s="64"/>
      <c r="P14" s="317" t="s">
        <v>17</v>
      </c>
    </row>
    <row r="15" spans="1:16" ht="57" customHeight="1">
      <c r="A15" s="354">
        <v>9</v>
      </c>
      <c r="B15" s="6" t="s">
        <v>75</v>
      </c>
      <c r="C15" s="6" t="s">
        <v>844</v>
      </c>
      <c r="D15" s="152" t="s">
        <v>116</v>
      </c>
      <c r="E15" s="65" t="s">
        <v>131</v>
      </c>
      <c r="F15" s="177">
        <v>17000</v>
      </c>
      <c r="G15" s="83" t="s">
        <v>23</v>
      </c>
      <c r="H15" s="83" t="s">
        <v>77</v>
      </c>
      <c r="I15" s="83">
        <v>1399</v>
      </c>
      <c r="J15" s="43" t="s">
        <v>25</v>
      </c>
      <c r="K15" s="219">
        <v>1</v>
      </c>
      <c r="L15" s="64"/>
      <c r="M15" s="694" t="s">
        <v>33</v>
      </c>
      <c r="N15" s="64"/>
      <c r="O15" s="64"/>
      <c r="P15" s="317" t="s">
        <v>17</v>
      </c>
    </row>
    <row r="16" spans="1:16" ht="45.75" customHeight="1">
      <c r="A16" s="354">
        <v>10</v>
      </c>
      <c r="B16" s="6" t="s">
        <v>75</v>
      </c>
      <c r="C16" s="318" t="s">
        <v>843</v>
      </c>
      <c r="D16" s="152" t="s">
        <v>31</v>
      </c>
      <c r="E16" s="65" t="s">
        <v>119</v>
      </c>
      <c r="F16" s="177">
        <v>228000</v>
      </c>
      <c r="G16" s="83" t="s">
        <v>23</v>
      </c>
      <c r="H16" s="83" t="s">
        <v>77</v>
      </c>
      <c r="I16" s="83">
        <v>1399</v>
      </c>
      <c r="J16" s="43" t="s">
        <v>25</v>
      </c>
      <c r="K16" s="219">
        <v>1</v>
      </c>
      <c r="L16" s="175"/>
      <c r="M16" s="694" t="s">
        <v>33</v>
      </c>
      <c r="N16" s="175"/>
      <c r="O16" s="43"/>
      <c r="P16" s="317" t="s">
        <v>17</v>
      </c>
    </row>
    <row r="17" spans="1:18" ht="45.75" customHeight="1">
      <c r="A17" s="354">
        <v>11</v>
      </c>
      <c r="B17" s="6" t="s">
        <v>75</v>
      </c>
      <c r="C17" s="318" t="s">
        <v>843</v>
      </c>
      <c r="D17" s="152" t="s">
        <v>31</v>
      </c>
      <c r="E17" s="65" t="s">
        <v>120</v>
      </c>
      <c r="F17" s="177">
        <v>204540</v>
      </c>
      <c r="G17" s="83" t="s">
        <v>23</v>
      </c>
      <c r="H17" s="83" t="s">
        <v>77</v>
      </c>
      <c r="I17" s="83">
        <v>1399</v>
      </c>
      <c r="J17" s="43" t="s">
        <v>25</v>
      </c>
      <c r="K17" s="219">
        <v>1</v>
      </c>
      <c r="L17" s="175"/>
      <c r="M17" s="694" t="s">
        <v>33</v>
      </c>
      <c r="N17" s="175"/>
      <c r="O17" s="43"/>
      <c r="P17" s="317"/>
    </row>
    <row r="18" spans="1:18" ht="45.75" customHeight="1">
      <c r="A18" s="354">
        <v>12</v>
      </c>
      <c r="B18" s="6" t="s">
        <v>75</v>
      </c>
      <c r="C18" s="318" t="s">
        <v>843</v>
      </c>
      <c r="D18" s="152" t="s">
        <v>31</v>
      </c>
      <c r="E18" s="65" t="s">
        <v>121</v>
      </c>
      <c r="F18" s="177">
        <v>144760</v>
      </c>
      <c r="G18" s="83" t="s">
        <v>23</v>
      </c>
      <c r="H18" s="83" t="s">
        <v>77</v>
      </c>
      <c r="I18" s="83">
        <v>1399</v>
      </c>
      <c r="J18" s="43" t="s">
        <v>25</v>
      </c>
      <c r="K18" s="219">
        <v>1</v>
      </c>
      <c r="L18" s="175"/>
      <c r="M18" s="694" t="s">
        <v>33</v>
      </c>
      <c r="N18" s="175"/>
      <c r="O18" s="43"/>
      <c r="P18" s="317" t="s">
        <v>17</v>
      </c>
    </row>
    <row r="19" spans="1:18" ht="45.75" customHeight="1">
      <c r="A19" s="354">
        <v>13</v>
      </c>
      <c r="B19" s="6" t="s">
        <v>75</v>
      </c>
      <c r="C19" s="6" t="s">
        <v>842</v>
      </c>
      <c r="D19" s="152" t="s">
        <v>31</v>
      </c>
      <c r="E19" s="65" t="s">
        <v>122</v>
      </c>
      <c r="F19" s="177">
        <v>254000</v>
      </c>
      <c r="G19" s="83" t="s">
        <v>23</v>
      </c>
      <c r="H19" s="83" t="s">
        <v>77</v>
      </c>
      <c r="I19" s="83">
        <v>1399</v>
      </c>
      <c r="J19" s="43" t="s">
        <v>25</v>
      </c>
      <c r="K19" s="219">
        <v>1</v>
      </c>
      <c r="L19" s="175"/>
      <c r="M19" s="694" t="s">
        <v>33</v>
      </c>
      <c r="N19" s="175"/>
      <c r="O19" s="43"/>
      <c r="P19" s="317"/>
    </row>
    <row r="20" spans="1:18" ht="69.75" customHeight="1">
      <c r="A20" s="354">
        <v>14</v>
      </c>
      <c r="B20" s="6" t="s">
        <v>75</v>
      </c>
      <c r="C20" s="6" t="s">
        <v>841</v>
      </c>
      <c r="D20" s="65" t="s">
        <v>40</v>
      </c>
      <c r="E20" s="6" t="s">
        <v>203</v>
      </c>
      <c r="F20" s="177">
        <v>2901600</v>
      </c>
      <c r="G20" s="83" t="s">
        <v>23</v>
      </c>
      <c r="H20" s="83" t="s">
        <v>41</v>
      </c>
      <c r="I20" s="83">
        <v>1399</v>
      </c>
      <c r="J20" s="43" t="s">
        <v>25</v>
      </c>
      <c r="K20" s="219">
        <v>1</v>
      </c>
      <c r="L20" s="175"/>
      <c r="M20" s="694" t="s">
        <v>33</v>
      </c>
      <c r="N20" s="175"/>
      <c r="O20" s="64"/>
      <c r="P20" s="62" t="s">
        <v>17</v>
      </c>
      <c r="Q20" s="29"/>
      <c r="R20" s="29"/>
    </row>
    <row r="21" spans="1:18" ht="73.150000000000006" customHeight="1">
      <c r="A21" s="354">
        <v>15</v>
      </c>
      <c r="B21" s="6" t="s">
        <v>75</v>
      </c>
      <c r="C21" s="6" t="s">
        <v>841</v>
      </c>
      <c r="D21" s="65" t="s">
        <v>40</v>
      </c>
      <c r="E21" s="6" t="s">
        <v>215</v>
      </c>
      <c r="F21" s="177" t="s">
        <v>17</v>
      </c>
      <c r="G21" s="83" t="s">
        <v>17</v>
      </c>
      <c r="H21" s="83" t="s">
        <v>17</v>
      </c>
      <c r="I21" s="83">
        <v>1399</v>
      </c>
      <c r="J21" s="43" t="s">
        <v>25</v>
      </c>
      <c r="K21" s="219">
        <v>1</v>
      </c>
      <c r="L21" s="175"/>
      <c r="M21" s="694" t="s">
        <v>33</v>
      </c>
      <c r="N21" s="175"/>
      <c r="O21" s="309"/>
      <c r="P21" s="353" t="s">
        <v>324</v>
      </c>
      <c r="Q21" s="29"/>
      <c r="R21" s="29"/>
    </row>
    <row r="22" spans="1:18" ht="81.599999999999994" customHeight="1">
      <c r="A22" s="354">
        <v>16</v>
      </c>
      <c r="B22" s="6" t="s">
        <v>75</v>
      </c>
      <c r="C22" s="6"/>
      <c r="D22" s="65" t="s">
        <v>40</v>
      </c>
      <c r="E22" s="307" t="s">
        <v>491</v>
      </c>
      <c r="F22" s="177">
        <v>549072</v>
      </c>
      <c r="G22" s="83" t="s">
        <v>23</v>
      </c>
      <c r="H22" s="83" t="s">
        <v>41</v>
      </c>
      <c r="I22" s="83">
        <v>1399</v>
      </c>
      <c r="J22" s="43" t="s">
        <v>25</v>
      </c>
      <c r="K22" s="219">
        <v>1</v>
      </c>
      <c r="L22" s="175" t="s">
        <v>947</v>
      </c>
      <c r="M22" s="694" t="s">
        <v>33</v>
      </c>
      <c r="N22" s="65" t="s">
        <v>325</v>
      </c>
      <c r="O22" s="22" t="s">
        <v>973</v>
      </c>
      <c r="P22" s="62"/>
      <c r="Q22" s="29"/>
      <c r="R22" s="29"/>
    </row>
    <row r="23" spans="1:18" ht="79.900000000000006" customHeight="1">
      <c r="A23" s="354">
        <v>17</v>
      </c>
      <c r="B23" s="6" t="s">
        <v>75</v>
      </c>
      <c r="C23" s="6"/>
      <c r="D23" s="65" t="s">
        <v>40</v>
      </c>
      <c r="E23" s="6" t="s">
        <v>86</v>
      </c>
      <c r="F23" s="177">
        <v>750000</v>
      </c>
      <c r="G23" s="83" t="s">
        <v>23</v>
      </c>
      <c r="H23" s="83" t="s">
        <v>41</v>
      </c>
      <c r="I23" s="83">
        <v>1399</v>
      </c>
      <c r="J23" s="43" t="s">
        <v>25</v>
      </c>
      <c r="K23" s="219">
        <v>1</v>
      </c>
      <c r="L23" s="175" t="s">
        <v>947</v>
      </c>
      <c r="M23" s="694" t="s">
        <v>33</v>
      </c>
      <c r="N23" s="65" t="s">
        <v>325</v>
      </c>
      <c r="O23" s="22" t="s">
        <v>973</v>
      </c>
      <c r="P23" s="62"/>
      <c r="Q23" s="29"/>
      <c r="R23" s="29"/>
    </row>
    <row r="24" spans="1:18" ht="58.15" customHeight="1">
      <c r="A24" s="354">
        <v>18</v>
      </c>
      <c r="B24" s="6" t="s">
        <v>75</v>
      </c>
      <c r="C24" s="6" t="s">
        <v>836</v>
      </c>
      <c r="D24" s="65" t="s">
        <v>40</v>
      </c>
      <c r="E24" s="6" t="s">
        <v>840</v>
      </c>
      <c r="F24" s="177">
        <v>156240</v>
      </c>
      <c r="G24" s="83" t="s">
        <v>23</v>
      </c>
      <c r="H24" s="83" t="s">
        <v>41</v>
      </c>
      <c r="I24" s="83">
        <v>1399</v>
      </c>
      <c r="J24" s="43" t="s">
        <v>25</v>
      </c>
      <c r="K24" s="219">
        <v>1</v>
      </c>
      <c r="L24" s="175"/>
      <c r="M24" s="694" t="s">
        <v>33</v>
      </c>
      <c r="N24" s="175"/>
      <c r="O24" s="64"/>
      <c r="P24" s="62"/>
      <c r="Q24" s="29"/>
      <c r="R24" s="29"/>
    </row>
    <row r="25" spans="1:18" ht="36">
      <c r="A25" s="354">
        <v>19</v>
      </c>
      <c r="B25" s="6" t="s">
        <v>75</v>
      </c>
      <c r="C25" s="6" t="s">
        <v>836</v>
      </c>
      <c r="D25" s="65" t="s">
        <v>40</v>
      </c>
      <c r="E25" s="164" t="s">
        <v>974</v>
      </c>
      <c r="F25" s="184">
        <f>200*2617</f>
        <v>523400</v>
      </c>
      <c r="G25" s="354" t="s">
        <v>23</v>
      </c>
      <c r="H25" s="354" t="s">
        <v>41</v>
      </c>
      <c r="I25" s="354">
        <v>1399</v>
      </c>
      <c r="J25" s="43" t="s">
        <v>25</v>
      </c>
      <c r="K25" s="219">
        <v>1</v>
      </c>
      <c r="L25" s="175"/>
      <c r="M25" s="694" t="s">
        <v>33</v>
      </c>
      <c r="N25" s="175"/>
      <c r="O25" s="64"/>
      <c r="P25" s="62"/>
      <c r="Q25" s="29"/>
      <c r="R25" s="29"/>
    </row>
    <row r="26" spans="1:18" ht="36">
      <c r="A26" s="354">
        <v>20</v>
      </c>
      <c r="B26" s="6" t="s">
        <v>75</v>
      </c>
      <c r="C26" s="6" t="s">
        <v>839</v>
      </c>
      <c r="D26" s="65" t="s">
        <v>40</v>
      </c>
      <c r="E26" s="6" t="s">
        <v>178</v>
      </c>
      <c r="F26" s="177">
        <v>42514</v>
      </c>
      <c r="G26" s="83" t="s">
        <v>23</v>
      </c>
      <c r="H26" s="83" t="s">
        <v>41</v>
      </c>
      <c r="I26" s="83">
        <v>1399</v>
      </c>
      <c r="J26" s="43" t="s">
        <v>25</v>
      </c>
      <c r="K26" s="219">
        <v>1</v>
      </c>
      <c r="L26" s="175"/>
      <c r="M26" s="694" t="s">
        <v>33</v>
      </c>
      <c r="N26" s="175"/>
      <c r="O26" s="64"/>
      <c r="P26" s="841"/>
      <c r="Q26" s="29"/>
      <c r="R26" s="29"/>
    </row>
    <row r="27" spans="1:18" ht="36">
      <c r="A27" s="354">
        <v>21</v>
      </c>
      <c r="B27" s="6" t="s">
        <v>75</v>
      </c>
      <c r="C27" s="6" t="s">
        <v>836</v>
      </c>
      <c r="D27" s="65" t="s">
        <v>40</v>
      </c>
      <c r="E27" s="65" t="s">
        <v>91</v>
      </c>
      <c r="F27" s="177">
        <v>104100</v>
      </c>
      <c r="G27" s="83" t="s">
        <v>23</v>
      </c>
      <c r="H27" s="83" t="s">
        <v>41</v>
      </c>
      <c r="I27" s="83">
        <v>1399</v>
      </c>
      <c r="J27" s="43" t="s">
        <v>25</v>
      </c>
      <c r="K27" s="219">
        <v>1</v>
      </c>
      <c r="L27" s="175"/>
      <c r="M27" s="694" t="s">
        <v>33</v>
      </c>
      <c r="N27" s="175"/>
      <c r="O27" s="64"/>
      <c r="P27" s="841"/>
      <c r="Q27" s="29"/>
      <c r="R27" s="29"/>
    </row>
    <row r="28" spans="1:18" ht="36">
      <c r="A28" s="354">
        <v>22</v>
      </c>
      <c r="B28" s="6" t="s">
        <v>75</v>
      </c>
      <c r="C28" s="6" t="s">
        <v>836</v>
      </c>
      <c r="D28" s="65" t="s">
        <v>40</v>
      </c>
      <c r="E28" s="65" t="s">
        <v>92</v>
      </c>
      <c r="F28" s="177">
        <v>109350</v>
      </c>
      <c r="G28" s="83" t="s">
        <v>23</v>
      </c>
      <c r="H28" s="83" t="s">
        <v>41</v>
      </c>
      <c r="I28" s="83">
        <v>1399</v>
      </c>
      <c r="J28" s="43" t="s">
        <v>25</v>
      </c>
      <c r="K28" s="219">
        <v>1</v>
      </c>
      <c r="L28" s="175"/>
      <c r="M28" s="694" t="s">
        <v>33</v>
      </c>
      <c r="N28" s="175"/>
      <c r="O28" s="64"/>
      <c r="P28" s="841"/>
      <c r="Q28" s="29"/>
      <c r="R28" s="29"/>
    </row>
    <row r="29" spans="1:18" ht="36">
      <c r="A29" s="354">
        <v>23</v>
      </c>
      <c r="B29" s="6" t="s">
        <v>75</v>
      </c>
      <c r="C29" s="6" t="s">
        <v>836</v>
      </c>
      <c r="D29" s="65" t="s">
        <v>40</v>
      </c>
      <c r="E29" s="65" t="s">
        <v>93</v>
      </c>
      <c r="F29" s="177">
        <v>91100</v>
      </c>
      <c r="G29" s="83" t="s">
        <v>23</v>
      </c>
      <c r="H29" s="83" t="s">
        <v>41</v>
      </c>
      <c r="I29" s="83">
        <v>1399</v>
      </c>
      <c r="J29" s="43" t="s">
        <v>25</v>
      </c>
      <c r="K29" s="219">
        <v>1</v>
      </c>
      <c r="L29" s="175"/>
      <c r="M29" s="694" t="s">
        <v>33</v>
      </c>
      <c r="N29" s="175"/>
      <c r="O29" s="64"/>
      <c r="P29" s="841"/>
      <c r="Q29" s="29"/>
      <c r="R29" s="29"/>
    </row>
    <row r="30" spans="1:18" ht="36">
      <c r="A30" s="354">
        <v>24</v>
      </c>
      <c r="B30" s="6" t="s">
        <v>75</v>
      </c>
      <c r="C30" s="6" t="s">
        <v>836</v>
      </c>
      <c r="D30" s="65" t="s">
        <v>40</v>
      </c>
      <c r="E30" s="6" t="s">
        <v>164</v>
      </c>
      <c r="F30" s="177">
        <v>157500</v>
      </c>
      <c r="G30" s="83" t="s">
        <v>23</v>
      </c>
      <c r="H30" s="83" t="s">
        <v>41</v>
      </c>
      <c r="I30" s="83">
        <v>1399</v>
      </c>
      <c r="J30" s="43" t="s">
        <v>25</v>
      </c>
      <c r="K30" s="219">
        <v>1</v>
      </c>
      <c r="L30" s="175"/>
      <c r="M30" s="694" t="s">
        <v>33</v>
      </c>
      <c r="N30" s="175"/>
      <c r="O30" s="64"/>
      <c r="P30" s="841"/>
      <c r="Q30" s="29"/>
      <c r="R30" s="29"/>
    </row>
    <row r="31" spans="1:18" ht="43.9" customHeight="1">
      <c r="A31" s="354">
        <v>25</v>
      </c>
      <c r="B31" s="6" t="s">
        <v>75</v>
      </c>
      <c r="C31" s="6" t="s">
        <v>838</v>
      </c>
      <c r="D31" s="65" t="s">
        <v>40</v>
      </c>
      <c r="E31" s="6" t="s">
        <v>837</v>
      </c>
      <c r="F31" s="177">
        <v>91140</v>
      </c>
      <c r="G31" s="83" t="s">
        <v>23</v>
      </c>
      <c r="H31" s="83" t="s">
        <v>41</v>
      </c>
      <c r="I31" s="83">
        <v>1399</v>
      </c>
      <c r="J31" s="43" t="s">
        <v>25</v>
      </c>
      <c r="K31" s="219">
        <v>1</v>
      </c>
      <c r="L31" s="175"/>
      <c r="M31" s="694" t="s">
        <v>33</v>
      </c>
      <c r="N31" s="175"/>
      <c r="O31" s="64"/>
      <c r="P31" s="62"/>
      <c r="Q31" s="29"/>
      <c r="R31" s="29"/>
    </row>
    <row r="32" spans="1:18" ht="43.9" customHeight="1">
      <c r="A32" s="354">
        <v>26</v>
      </c>
      <c r="B32" s="6" t="s">
        <v>75</v>
      </c>
      <c r="C32" s="6" t="s">
        <v>836</v>
      </c>
      <c r="D32" s="65" t="s">
        <v>40</v>
      </c>
      <c r="E32" s="6" t="s">
        <v>51</v>
      </c>
      <c r="F32" s="177">
        <v>52080</v>
      </c>
      <c r="G32" s="83" t="s">
        <v>23</v>
      </c>
      <c r="H32" s="83" t="s">
        <v>41</v>
      </c>
      <c r="I32" s="83">
        <v>1399</v>
      </c>
      <c r="J32" s="43" t="s">
        <v>25</v>
      </c>
      <c r="K32" s="219">
        <v>1</v>
      </c>
      <c r="L32" s="175" t="s">
        <v>947</v>
      </c>
      <c r="M32" s="694" t="s">
        <v>33</v>
      </c>
      <c r="N32" s="452" t="s">
        <v>325</v>
      </c>
      <c r="O32" s="22" t="s">
        <v>973</v>
      </c>
      <c r="P32" s="62"/>
      <c r="Q32" s="29"/>
      <c r="R32" s="29"/>
    </row>
    <row r="33" spans="1:18" ht="60" customHeight="1">
      <c r="A33" s="354">
        <v>27</v>
      </c>
      <c r="B33" s="6" t="s">
        <v>75</v>
      </c>
      <c r="C33" s="6" t="s">
        <v>835</v>
      </c>
      <c r="D33" s="65" t="s">
        <v>40</v>
      </c>
      <c r="E33" s="6" t="s">
        <v>486</v>
      </c>
      <c r="F33" s="177">
        <v>396000</v>
      </c>
      <c r="G33" s="83" t="s">
        <v>23</v>
      </c>
      <c r="H33" s="83" t="s">
        <v>41</v>
      </c>
      <c r="I33" s="83">
        <v>1399</v>
      </c>
      <c r="J33" s="43" t="s">
        <v>25</v>
      </c>
      <c r="K33" s="219">
        <v>1</v>
      </c>
      <c r="L33" s="175"/>
      <c r="M33" s="694" t="s">
        <v>33</v>
      </c>
      <c r="N33" s="175"/>
      <c r="O33" s="64"/>
      <c r="P33" s="236"/>
      <c r="Q33" s="29"/>
      <c r="R33" s="29"/>
    </row>
    <row r="34" spans="1:18" ht="72">
      <c r="A34" s="354">
        <v>28</v>
      </c>
      <c r="B34" s="6" t="s">
        <v>75</v>
      </c>
      <c r="C34" s="6" t="s">
        <v>835</v>
      </c>
      <c r="D34" s="65" t="s">
        <v>40</v>
      </c>
      <c r="E34" s="187" t="s">
        <v>485</v>
      </c>
      <c r="F34" s="177">
        <v>360000</v>
      </c>
      <c r="G34" s="83" t="s">
        <v>23</v>
      </c>
      <c r="H34" s="83" t="s">
        <v>41</v>
      </c>
      <c r="I34" s="83">
        <v>1399</v>
      </c>
      <c r="J34" s="43" t="s">
        <v>25</v>
      </c>
      <c r="K34" s="219">
        <v>1</v>
      </c>
      <c r="L34" s="175"/>
      <c r="M34" s="694" t="s">
        <v>33</v>
      </c>
      <c r="N34" s="175"/>
      <c r="O34" s="64"/>
      <c r="P34" s="236"/>
      <c r="Q34" s="29"/>
      <c r="R34" s="29"/>
    </row>
    <row r="35" spans="1:18" ht="108">
      <c r="A35" s="354">
        <v>29</v>
      </c>
      <c r="B35" s="6" t="s">
        <v>75</v>
      </c>
      <c r="C35" s="6"/>
      <c r="D35" s="65" t="s">
        <v>40</v>
      </c>
      <c r="E35" s="6" t="s">
        <v>1838</v>
      </c>
      <c r="F35" s="177">
        <v>702000</v>
      </c>
      <c r="G35" s="83" t="s">
        <v>23</v>
      </c>
      <c r="H35" s="83" t="s">
        <v>41</v>
      </c>
      <c r="I35" s="83">
        <v>1399</v>
      </c>
      <c r="J35" s="43" t="s">
        <v>25</v>
      </c>
      <c r="K35" s="219">
        <v>1</v>
      </c>
      <c r="L35" s="175" t="s">
        <v>947</v>
      </c>
      <c r="M35" s="694" t="s">
        <v>33</v>
      </c>
      <c r="N35" s="65" t="s">
        <v>325</v>
      </c>
      <c r="O35" s="22" t="s">
        <v>973</v>
      </c>
      <c r="P35" s="236"/>
      <c r="Q35" s="29"/>
      <c r="R35" s="29"/>
    </row>
    <row r="36" spans="1:18" ht="58.15" hidden="1" customHeight="1">
      <c r="A36" s="354">
        <v>30</v>
      </c>
      <c r="B36" s="6" t="s">
        <v>75</v>
      </c>
      <c r="C36" s="6"/>
      <c r="D36" s="6" t="s">
        <v>111</v>
      </c>
      <c r="E36" s="6" t="s">
        <v>832</v>
      </c>
      <c r="F36" s="177">
        <v>100000</v>
      </c>
      <c r="G36" s="83" t="s">
        <v>23</v>
      </c>
      <c r="H36" s="83" t="s">
        <v>77</v>
      </c>
      <c r="I36" s="83">
        <v>1399</v>
      </c>
      <c r="J36" s="43" t="s">
        <v>25</v>
      </c>
      <c r="K36" s="219">
        <v>1</v>
      </c>
      <c r="L36" s="64"/>
      <c r="M36" s="694" t="s">
        <v>33</v>
      </c>
      <c r="N36" s="64"/>
      <c r="O36" s="64"/>
      <c r="P36" s="203"/>
      <c r="Q36" s="29"/>
      <c r="R36" s="29"/>
    </row>
    <row r="37" spans="1:18" ht="36" hidden="1">
      <c r="A37" s="354">
        <v>31</v>
      </c>
      <c r="B37" s="6" t="s">
        <v>75</v>
      </c>
      <c r="C37" s="6"/>
      <c r="D37" s="6" t="s">
        <v>111</v>
      </c>
      <c r="E37" s="6" t="s">
        <v>831</v>
      </c>
      <c r="F37" s="177">
        <v>160000</v>
      </c>
      <c r="G37" s="83" t="s">
        <v>23</v>
      </c>
      <c r="H37" s="83" t="s">
        <v>77</v>
      </c>
      <c r="I37" s="83">
        <v>1399</v>
      </c>
      <c r="J37" s="43" t="s">
        <v>25</v>
      </c>
      <c r="K37" s="219">
        <v>1</v>
      </c>
      <c r="L37" s="64"/>
      <c r="M37" s="694" t="s">
        <v>33</v>
      </c>
      <c r="N37" s="64"/>
      <c r="O37" s="64"/>
      <c r="P37" s="203"/>
      <c r="Q37" s="29"/>
      <c r="R37" s="29"/>
    </row>
    <row r="38" spans="1:18" ht="61.5" hidden="1" customHeight="1">
      <c r="A38" s="354">
        <v>32</v>
      </c>
      <c r="B38" s="6" t="s">
        <v>75</v>
      </c>
      <c r="C38" s="6"/>
      <c r="D38" s="65" t="s">
        <v>73</v>
      </c>
      <c r="E38" s="65" t="s">
        <v>142</v>
      </c>
      <c r="F38" s="177">
        <v>1282840</v>
      </c>
      <c r="G38" s="83" t="s">
        <v>23</v>
      </c>
      <c r="H38" s="83" t="s">
        <v>77</v>
      </c>
      <c r="I38" s="83">
        <v>1399</v>
      </c>
      <c r="J38" s="43" t="s">
        <v>25</v>
      </c>
      <c r="K38" s="219">
        <v>1</v>
      </c>
      <c r="L38" s="64" t="s">
        <v>72</v>
      </c>
      <c r="M38" s="694" t="s">
        <v>33</v>
      </c>
      <c r="N38" s="64" t="s">
        <v>360</v>
      </c>
      <c r="O38" s="64" t="s">
        <v>834</v>
      </c>
      <c r="P38" s="62"/>
    </row>
    <row r="39" spans="1:18" ht="36">
      <c r="A39" s="354">
        <v>33</v>
      </c>
      <c r="B39" s="6" t="s">
        <v>75</v>
      </c>
      <c r="C39" s="6" t="s">
        <v>184</v>
      </c>
      <c r="D39" s="152" t="s">
        <v>76</v>
      </c>
      <c r="E39" s="152" t="s">
        <v>833</v>
      </c>
      <c r="F39" s="185">
        <v>755454</v>
      </c>
      <c r="G39" s="82" t="s">
        <v>23</v>
      </c>
      <c r="H39" s="65" t="s">
        <v>77</v>
      </c>
      <c r="I39" s="82">
        <v>1399</v>
      </c>
      <c r="J39" s="65" t="s">
        <v>25</v>
      </c>
      <c r="K39" s="48">
        <v>1</v>
      </c>
      <c r="L39" s="64"/>
      <c r="M39" s="694" t="s">
        <v>33</v>
      </c>
      <c r="N39" s="65"/>
      <c r="O39" s="65"/>
      <c r="P39" s="33"/>
    </row>
    <row r="40" spans="1:18" s="461" customFormat="1" ht="58.15" customHeight="1">
      <c r="A40" s="354">
        <v>34</v>
      </c>
      <c r="B40" s="6" t="s">
        <v>75</v>
      </c>
      <c r="C40" s="6" t="s">
        <v>1113</v>
      </c>
      <c r="D40" s="6" t="s">
        <v>111</v>
      </c>
      <c r="E40" s="6" t="s">
        <v>832</v>
      </c>
      <c r="F40" s="177">
        <v>100000</v>
      </c>
      <c r="G40" s="354" t="s">
        <v>23</v>
      </c>
      <c r="H40" s="354" t="s">
        <v>77</v>
      </c>
      <c r="I40" s="354">
        <v>1399</v>
      </c>
      <c r="J40" s="43" t="s">
        <v>25</v>
      </c>
      <c r="K40" s="219">
        <v>1</v>
      </c>
      <c r="L40" s="466"/>
      <c r="M40" s="694" t="s">
        <v>33</v>
      </c>
      <c r="N40" s="33"/>
      <c r="O40" s="33"/>
      <c r="P40" s="203"/>
      <c r="Q40" s="29"/>
      <c r="R40" s="29"/>
    </row>
    <row r="41" spans="1:18" s="461" customFormat="1" ht="36">
      <c r="A41" s="354">
        <v>35</v>
      </c>
      <c r="B41" s="6" t="s">
        <v>75</v>
      </c>
      <c r="C41" s="6" t="s">
        <v>1114</v>
      </c>
      <c r="D41" s="6" t="s">
        <v>111</v>
      </c>
      <c r="E41" s="6" t="s">
        <v>831</v>
      </c>
      <c r="F41" s="177">
        <v>160000</v>
      </c>
      <c r="G41" s="354" t="s">
        <v>23</v>
      </c>
      <c r="H41" s="354" t="s">
        <v>77</v>
      </c>
      <c r="I41" s="354">
        <v>1399</v>
      </c>
      <c r="J41" s="43" t="s">
        <v>25</v>
      </c>
      <c r="K41" s="48">
        <v>1</v>
      </c>
      <c r="L41" s="33"/>
      <c r="M41" s="694" t="s">
        <v>33</v>
      </c>
      <c r="N41" s="33"/>
      <c r="O41" s="33"/>
      <c r="P41" s="203"/>
      <c r="Q41" s="29"/>
      <c r="R41" s="29"/>
    </row>
    <row r="42" spans="1:18" s="552" customFormat="1" ht="61.5" customHeight="1">
      <c r="A42" s="354">
        <v>36</v>
      </c>
      <c r="B42" s="6" t="s">
        <v>75</v>
      </c>
      <c r="C42" s="6"/>
      <c r="D42" s="196" t="s">
        <v>73</v>
      </c>
      <c r="E42" s="196" t="s">
        <v>142</v>
      </c>
      <c r="F42" s="47">
        <v>1282840</v>
      </c>
      <c r="G42" s="354" t="s">
        <v>23</v>
      </c>
      <c r="H42" s="354" t="s">
        <v>77</v>
      </c>
      <c r="I42" s="354">
        <v>1399</v>
      </c>
      <c r="J42" s="43" t="s">
        <v>25</v>
      </c>
      <c r="K42" s="48"/>
      <c r="L42" s="33" t="s">
        <v>72</v>
      </c>
      <c r="M42" s="564"/>
      <c r="N42" s="623" t="s">
        <v>581</v>
      </c>
      <c r="O42" s="236" t="s">
        <v>1837</v>
      </c>
      <c r="P42" s="553"/>
    </row>
  </sheetData>
  <mergeCells count="17">
    <mergeCell ref="P5:P6"/>
    <mergeCell ref="F7:F10"/>
    <mergeCell ref="P26:P28"/>
    <mergeCell ref="P29:P30"/>
    <mergeCell ref="A1:P4"/>
    <mergeCell ref="A5:A6"/>
    <mergeCell ref="B5:B6"/>
    <mergeCell ref="C5:C6"/>
    <mergeCell ref="D5:D6"/>
    <mergeCell ref="E5:E6"/>
    <mergeCell ref="F5:H5"/>
    <mergeCell ref="I5:I6"/>
    <mergeCell ref="J5:J6"/>
    <mergeCell ref="K5:K6"/>
    <mergeCell ref="L5:M5"/>
    <mergeCell ref="N5:N6"/>
    <mergeCell ref="O5:O6"/>
  </mergeCells>
  <printOptions horizontalCentered="1"/>
  <pageMargins left="0.2" right="0.2" top="0.5" bottom="0.5" header="0.3" footer="0.3"/>
  <pageSetup paperSize="9" scale="55"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sheetPr>
    <tabColor rgb="FF92D050"/>
  </sheetPr>
  <dimension ref="A1:Q60"/>
  <sheetViews>
    <sheetView rightToLeft="1" view="pageBreakPreview" topLeftCell="B1" zoomScale="88" zoomScaleSheetLayoutView="88" workbookViewId="0">
      <pane ySplit="6" topLeftCell="A55" activePane="bottomLeft" state="frozen"/>
      <selection pane="bottomLeft" activeCell="K62" sqref="K62"/>
    </sheetView>
  </sheetViews>
  <sheetFormatPr defaultColWidth="9.140625" defaultRowHeight="15"/>
  <cols>
    <col min="1" max="1" width="8.5703125" style="1" customWidth="1"/>
    <col min="2" max="3" width="16.140625" style="10" customWidth="1"/>
    <col min="4" max="4" width="11.5703125" style="10" customWidth="1"/>
    <col min="5" max="5" width="27.85546875" style="10" customWidth="1"/>
    <col min="6" max="6" width="17" style="160" customWidth="1"/>
    <col min="7" max="7" width="11.85546875" style="2" customWidth="1"/>
    <col min="8" max="8" width="10.42578125" style="10" customWidth="1"/>
    <col min="9" max="9" width="11.42578125" style="1" customWidth="1"/>
    <col min="10" max="10" width="14.7109375" style="9" customWidth="1"/>
    <col min="11" max="11" width="10" style="181" customWidth="1"/>
    <col min="12" max="12" width="9.5703125" style="145" customWidth="1"/>
    <col min="13" max="13" width="11.85546875" style="13" customWidth="1"/>
    <col min="14" max="14" width="20.5703125" style="9" customWidth="1"/>
    <col min="15" max="15" width="17.28515625" style="9" customWidth="1"/>
    <col min="16" max="16" width="14.7109375" style="145" customWidth="1"/>
    <col min="17" max="16384" width="9.140625" style="145"/>
  </cols>
  <sheetData>
    <row r="1" spans="1:17" ht="18" customHeight="1">
      <c r="A1" s="788" t="s">
        <v>1945</v>
      </c>
      <c r="B1" s="789"/>
      <c r="C1" s="789"/>
      <c r="D1" s="789"/>
      <c r="E1" s="789"/>
      <c r="F1" s="789"/>
      <c r="G1" s="789"/>
      <c r="H1" s="789"/>
      <c r="I1" s="789"/>
      <c r="J1" s="789"/>
      <c r="K1" s="789"/>
      <c r="L1" s="789"/>
      <c r="M1" s="789"/>
      <c r="N1" s="789"/>
      <c r="O1" s="789"/>
      <c r="P1" s="789"/>
    </row>
    <row r="2" spans="1:17" ht="18" customHeight="1">
      <c r="A2" s="789"/>
      <c r="B2" s="789"/>
      <c r="C2" s="789"/>
      <c r="D2" s="789"/>
      <c r="E2" s="789"/>
      <c r="F2" s="789"/>
      <c r="G2" s="789"/>
      <c r="H2" s="789"/>
      <c r="I2" s="789"/>
      <c r="J2" s="789"/>
      <c r="K2" s="789"/>
      <c r="L2" s="789"/>
      <c r="M2" s="789"/>
      <c r="N2" s="789"/>
      <c r="O2" s="789"/>
      <c r="P2" s="789"/>
    </row>
    <row r="3" spans="1:17" ht="18" customHeight="1">
      <c r="A3" s="789"/>
      <c r="B3" s="789"/>
      <c r="C3" s="789"/>
      <c r="D3" s="789"/>
      <c r="E3" s="789"/>
      <c r="F3" s="789"/>
      <c r="G3" s="789"/>
      <c r="H3" s="789"/>
      <c r="I3" s="789"/>
      <c r="J3" s="789"/>
      <c r="K3" s="789"/>
      <c r="L3" s="789"/>
      <c r="M3" s="789"/>
      <c r="N3" s="789"/>
      <c r="O3" s="789"/>
      <c r="P3" s="789"/>
    </row>
    <row r="4" spans="1:17" ht="18" customHeight="1">
      <c r="A4" s="790"/>
      <c r="B4" s="790"/>
      <c r="C4" s="790"/>
      <c r="D4" s="790"/>
      <c r="E4" s="790"/>
      <c r="F4" s="790"/>
      <c r="G4" s="790"/>
      <c r="H4" s="790"/>
      <c r="I4" s="790"/>
      <c r="J4" s="790"/>
      <c r="K4" s="790"/>
      <c r="L4" s="790"/>
      <c r="M4" s="790"/>
      <c r="N4" s="790"/>
      <c r="O4" s="790"/>
      <c r="P4" s="790"/>
    </row>
    <row r="5" spans="1:17" ht="28.15"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146" t="s">
        <v>8</v>
      </c>
    </row>
    <row r="6" spans="1:17" ht="33" customHeight="1">
      <c r="A6" s="791"/>
      <c r="B6" s="791"/>
      <c r="C6" s="791"/>
      <c r="D6" s="791"/>
      <c r="E6" s="791"/>
      <c r="F6" s="146" t="s">
        <v>10</v>
      </c>
      <c r="G6" s="146" t="s">
        <v>11</v>
      </c>
      <c r="H6" s="146" t="s">
        <v>12</v>
      </c>
      <c r="I6" s="791"/>
      <c r="J6" s="791"/>
      <c r="K6" s="791"/>
      <c r="L6" s="146" t="s">
        <v>3</v>
      </c>
      <c r="M6" s="197" t="s">
        <v>4</v>
      </c>
      <c r="N6" s="791"/>
      <c r="O6" s="791"/>
      <c r="P6" s="146"/>
    </row>
    <row r="7" spans="1:17" s="5" customFormat="1" ht="48.6" customHeight="1">
      <c r="A7" s="583">
        <v>1</v>
      </c>
      <c r="B7" s="354" t="s">
        <v>75</v>
      </c>
      <c r="C7" s="354" t="s">
        <v>1607</v>
      </c>
      <c r="D7" s="584" t="s">
        <v>320</v>
      </c>
      <c r="E7" s="576" t="s">
        <v>1608</v>
      </c>
      <c r="F7" s="570">
        <f>'[1]میدان وردک'!$H$16</f>
        <v>406166.66666666669</v>
      </c>
      <c r="G7" s="82" t="s">
        <v>23</v>
      </c>
      <c r="H7" s="82" t="s">
        <v>77</v>
      </c>
      <c r="I7" s="82">
        <v>1399</v>
      </c>
      <c r="J7" s="82" t="s">
        <v>25</v>
      </c>
      <c r="K7" s="106">
        <v>1</v>
      </c>
      <c r="L7" s="82"/>
      <c r="M7" s="576" t="s">
        <v>33</v>
      </c>
      <c r="N7" s="584" t="s">
        <v>17</v>
      </c>
      <c r="O7" s="576"/>
      <c r="P7" s="584"/>
    </row>
    <row r="8" spans="1:17" s="574" customFormat="1" ht="36">
      <c r="A8" s="583">
        <v>2</v>
      </c>
      <c r="B8" s="578" t="s">
        <v>75</v>
      </c>
      <c r="C8" s="354" t="s">
        <v>1609</v>
      </c>
      <c r="D8" s="584" t="s">
        <v>1610</v>
      </c>
      <c r="E8" s="576" t="s">
        <v>1611</v>
      </c>
      <c r="F8" s="570">
        <v>1537905</v>
      </c>
      <c r="G8" s="82" t="s">
        <v>23</v>
      </c>
      <c r="H8" s="82" t="s">
        <v>77</v>
      </c>
      <c r="I8" s="82">
        <v>1399</v>
      </c>
      <c r="J8" s="82" t="s">
        <v>25</v>
      </c>
      <c r="K8" s="179" t="s">
        <v>17</v>
      </c>
      <c r="L8" s="583" t="s">
        <v>72</v>
      </c>
      <c r="M8" s="576"/>
      <c r="N8" s="82" t="s">
        <v>1612</v>
      </c>
      <c r="O8" s="579" t="s">
        <v>1613</v>
      </c>
      <c r="P8" s="599"/>
    </row>
    <row r="9" spans="1:17" s="574" customFormat="1" ht="36">
      <c r="A9" s="588">
        <v>3</v>
      </c>
      <c r="B9" s="578" t="s">
        <v>75</v>
      </c>
      <c r="C9" s="354" t="s">
        <v>1614</v>
      </c>
      <c r="D9" s="584" t="s">
        <v>1610</v>
      </c>
      <c r="E9" s="576" t="s">
        <v>1615</v>
      </c>
      <c r="F9" s="570">
        <v>900304</v>
      </c>
      <c r="G9" s="82" t="s">
        <v>23</v>
      </c>
      <c r="H9" s="82" t="s">
        <v>77</v>
      </c>
      <c r="I9" s="82">
        <v>1399</v>
      </c>
      <c r="J9" s="82" t="s">
        <v>25</v>
      </c>
      <c r="K9" s="600"/>
      <c r="L9" s="583" t="s">
        <v>72</v>
      </c>
      <c r="M9" s="576"/>
      <c r="N9" s="82" t="s">
        <v>1616</v>
      </c>
      <c r="O9" s="579" t="s">
        <v>1613</v>
      </c>
      <c r="P9" s="599"/>
    </row>
    <row r="10" spans="1:17" s="26" customFormat="1" ht="45" customHeight="1">
      <c r="A10" s="588">
        <v>4</v>
      </c>
      <c r="B10" s="83" t="s">
        <v>75</v>
      </c>
      <c r="C10" s="83"/>
      <c r="D10" s="80" t="s">
        <v>701</v>
      </c>
      <c r="E10" s="152" t="s">
        <v>22</v>
      </c>
      <c r="F10" s="286">
        <v>640000</v>
      </c>
      <c r="G10" s="82" t="s">
        <v>23</v>
      </c>
      <c r="H10" s="82" t="s">
        <v>77</v>
      </c>
      <c r="I10" s="82">
        <v>1399</v>
      </c>
      <c r="J10" s="82" t="s">
        <v>25</v>
      </c>
      <c r="K10" s="235">
        <v>1</v>
      </c>
      <c r="L10" s="82"/>
      <c r="M10" s="152" t="s">
        <v>33</v>
      </c>
      <c r="N10" s="80"/>
      <c r="O10" s="152"/>
      <c r="P10" s="80"/>
      <c r="Q10" s="279"/>
    </row>
    <row r="11" spans="1:17" s="26" customFormat="1" ht="60.6" customHeight="1">
      <c r="A11" s="588">
        <v>5</v>
      </c>
      <c r="B11" s="83" t="s">
        <v>75</v>
      </c>
      <c r="C11" s="83"/>
      <c r="D11" s="80" t="s">
        <v>701</v>
      </c>
      <c r="E11" s="152" t="s">
        <v>98</v>
      </c>
      <c r="F11" s="286">
        <v>17000</v>
      </c>
      <c r="G11" s="82" t="s">
        <v>23</v>
      </c>
      <c r="H11" s="82" t="s">
        <v>77</v>
      </c>
      <c r="I11" s="82">
        <v>1399</v>
      </c>
      <c r="J11" s="82" t="s">
        <v>25</v>
      </c>
      <c r="K11" s="235">
        <v>1</v>
      </c>
      <c r="L11" s="82"/>
      <c r="M11" s="696" t="s">
        <v>33</v>
      </c>
      <c r="N11" s="80"/>
      <c r="O11" s="152"/>
      <c r="P11" s="80"/>
      <c r="Q11" s="278"/>
    </row>
    <row r="12" spans="1:17" s="26" customFormat="1" ht="64.900000000000006" customHeight="1">
      <c r="A12" s="588">
        <v>6</v>
      </c>
      <c r="B12" s="83" t="s">
        <v>75</v>
      </c>
      <c r="C12" s="83"/>
      <c r="D12" s="80" t="s">
        <v>31</v>
      </c>
      <c r="E12" s="152" t="s">
        <v>80</v>
      </c>
      <c r="F12" s="286">
        <v>334500</v>
      </c>
      <c r="G12" s="82" t="s">
        <v>23</v>
      </c>
      <c r="H12" s="82" t="s">
        <v>77</v>
      </c>
      <c r="I12" s="82">
        <v>1399</v>
      </c>
      <c r="J12" s="82" t="s">
        <v>25</v>
      </c>
      <c r="K12" s="235">
        <v>1</v>
      </c>
      <c r="L12" s="230"/>
      <c r="M12" s="696" t="s">
        <v>33</v>
      </c>
      <c r="N12" s="230"/>
      <c r="O12" s="152"/>
      <c r="P12" s="80"/>
      <c r="Q12" s="278"/>
    </row>
    <row r="13" spans="1:17" s="26" customFormat="1" ht="77.25" customHeight="1">
      <c r="A13" s="588">
        <v>7</v>
      </c>
      <c r="B13" s="83" t="s">
        <v>75</v>
      </c>
      <c r="C13" s="83"/>
      <c r="D13" s="80" t="s">
        <v>31</v>
      </c>
      <c r="E13" s="152" t="s">
        <v>34</v>
      </c>
      <c r="F13" s="286">
        <v>303951</v>
      </c>
      <c r="G13" s="82" t="s">
        <v>23</v>
      </c>
      <c r="H13" s="82" t="s">
        <v>77</v>
      </c>
      <c r="I13" s="82">
        <v>1399</v>
      </c>
      <c r="J13" s="82" t="s">
        <v>25</v>
      </c>
      <c r="K13" s="235">
        <v>1</v>
      </c>
      <c r="L13" s="230"/>
      <c r="M13" s="696" t="s">
        <v>33</v>
      </c>
      <c r="N13" s="230"/>
      <c r="O13" s="152"/>
      <c r="P13" s="80"/>
    </row>
    <row r="14" spans="1:17" s="26" customFormat="1" ht="53.25" customHeight="1">
      <c r="A14" s="588">
        <v>8</v>
      </c>
      <c r="B14" s="83" t="s">
        <v>75</v>
      </c>
      <c r="C14" s="83" t="s">
        <v>184</v>
      </c>
      <c r="D14" s="80" t="s">
        <v>31</v>
      </c>
      <c r="E14" s="152" t="s">
        <v>830</v>
      </c>
      <c r="F14" s="286">
        <v>4000000</v>
      </c>
      <c r="G14" s="82" t="s">
        <v>23</v>
      </c>
      <c r="H14" s="82" t="s">
        <v>77</v>
      </c>
      <c r="I14" s="82">
        <v>1399</v>
      </c>
      <c r="J14" s="82" t="s">
        <v>25</v>
      </c>
      <c r="K14" s="235">
        <v>1</v>
      </c>
      <c r="L14" s="230"/>
      <c r="M14" s="696" t="s">
        <v>33</v>
      </c>
      <c r="N14" s="350" t="s">
        <v>17</v>
      </c>
      <c r="O14" s="350"/>
      <c r="P14" s="350" t="s">
        <v>977</v>
      </c>
      <c r="Q14" s="278"/>
    </row>
    <row r="15" spans="1:17" s="26" customFormat="1" ht="72">
      <c r="A15" s="588">
        <v>9</v>
      </c>
      <c r="B15" s="83" t="s">
        <v>75</v>
      </c>
      <c r="C15" s="83"/>
      <c r="D15" s="80" t="s">
        <v>31</v>
      </c>
      <c r="E15" s="152" t="s">
        <v>32</v>
      </c>
      <c r="F15" s="286">
        <v>219520</v>
      </c>
      <c r="G15" s="82" t="s">
        <v>23</v>
      </c>
      <c r="H15" s="82" t="s">
        <v>77</v>
      </c>
      <c r="I15" s="82">
        <v>1399</v>
      </c>
      <c r="J15" s="82" t="s">
        <v>25</v>
      </c>
      <c r="K15" s="246">
        <v>1</v>
      </c>
      <c r="L15" s="230"/>
      <c r="M15" s="152" t="s">
        <v>33</v>
      </c>
      <c r="N15" s="230"/>
      <c r="O15" s="152"/>
      <c r="P15" s="80"/>
      <c r="Q15" s="278"/>
    </row>
    <row r="16" spans="1:17" s="26" customFormat="1" ht="72">
      <c r="A16" s="588">
        <v>10</v>
      </c>
      <c r="B16" s="83" t="s">
        <v>75</v>
      </c>
      <c r="C16" s="83"/>
      <c r="D16" s="80" t="s">
        <v>31</v>
      </c>
      <c r="E16" s="152" t="s">
        <v>38</v>
      </c>
      <c r="F16" s="286">
        <v>52800</v>
      </c>
      <c r="G16" s="82" t="s">
        <v>23</v>
      </c>
      <c r="H16" s="82" t="s">
        <v>77</v>
      </c>
      <c r="I16" s="82">
        <v>1399</v>
      </c>
      <c r="J16" s="82" t="s">
        <v>25</v>
      </c>
      <c r="K16" s="246">
        <v>1</v>
      </c>
      <c r="L16" s="230"/>
      <c r="M16" s="152" t="s">
        <v>33</v>
      </c>
      <c r="N16" s="230"/>
      <c r="O16" s="152"/>
      <c r="P16" s="80"/>
      <c r="Q16" s="278"/>
    </row>
    <row r="17" spans="1:17" s="26" customFormat="1" ht="72">
      <c r="A17" s="588">
        <v>11</v>
      </c>
      <c r="B17" s="83" t="s">
        <v>75</v>
      </c>
      <c r="C17" s="83"/>
      <c r="D17" s="80" t="s">
        <v>31</v>
      </c>
      <c r="E17" s="152" t="s">
        <v>483</v>
      </c>
      <c r="F17" s="286">
        <v>242000</v>
      </c>
      <c r="G17" s="82" t="s">
        <v>23</v>
      </c>
      <c r="H17" s="82" t="s">
        <v>77</v>
      </c>
      <c r="I17" s="82">
        <v>1399</v>
      </c>
      <c r="J17" s="82" t="s">
        <v>25</v>
      </c>
      <c r="K17" s="246">
        <v>1</v>
      </c>
      <c r="L17" s="230"/>
      <c r="M17" s="152" t="s">
        <v>33</v>
      </c>
      <c r="N17" s="230"/>
      <c r="O17" s="152"/>
      <c r="P17" s="80"/>
      <c r="Q17" s="278"/>
    </row>
    <row r="18" spans="1:17" s="26" customFormat="1" ht="71.25" customHeight="1">
      <c r="A18" s="588">
        <v>12</v>
      </c>
      <c r="B18" s="83" t="s">
        <v>75</v>
      </c>
      <c r="C18" s="83"/>
      <c r="D18" s="348" t="s">
        <v>946</v>
      </c>
      <c r="E18" s="164" t="s">
        <v>207</v>
      </c>
      <c r="F18" s="286">
        <v>8400000</v>
      </c>
      <c r="G18" s="82" t="s">
        <v>23</v>
      </c>
      <c r="H18" s="82" t="s">
        <v>77</v>
      </c>
      <c r="I18" s="82">
        <v>1399</v>
      </c>
      <c r="J18" s="82" t="s">
        <v>25</v>
      </c>
      <c r="K18" s="246">
        <v>1</v>
      </c>
      <c r="L18" s="82"/>
      <c r="M18" s="696" t="s">
        <v>33</v>
      </c>
      <c r="N18" s="82"/>
      <c r="O18" s="152"/>
      <c r="P18" s="80" t="s">
        <v>17</v>
      </c>
      <c r="Q18" s="278"/>
    </row>
    <row r="19" spans="1:17" s="26" customFormat="1" ht="126">
      <c r="A19" s="588">
        <v>13</v>
      </c>
      <c r="B19" s="83" t="s">
        <v>75</v>
      </c>
      <c r="C19" s="83"/>
      <c r="D19" s="348" t="s">
        <v>946</v>
      </c>
      <c r="E19" s="152" t="s">
        <v>29</v>
      </c>
      <c r="F19" s="286">
        <v>135000</v>
      </c>
      <c r="G19" s="82" t="s">
        <v>23</v>
      </c>
      <c r="H19" s="82" t="s">
        <v>77</v>
      </c>
      <c r="I19" s="82">
        <v>1399</v>
      </c>
      <c r="J19" s="82" t="s">
        <v>25</v>
      </c>
      <c r="K19" s="246">
        <v>1</v>
      </c>
      <c r="L19" s="230"/>
      <c r="M19" s="696" t="s">
        <v>33</v>
      </c>
      <c r="N19" s="230"/>
      <c r="O19" s="350"/>
      <c r="P19" s="80"/>
      <c r="Q19" s="278"/>
    </row>
    <row r="20" spans="1:17" s="26" customFormat="1" ht="72">
      <c r="A20" s="588">
        <v>14</v>
      </c>
      <c r="B20" s="83" t="s">
        <v>75</v>
      </c>
      <c r="C20" s="83"/>
      <c r="D20" s="348" t="s">
        <v>946</v>
      </c>
      <c r="E20" s="164" t="s">
        <v>829</v>
      </c>
      <c r="F20" s="286">
        <v>62250</v>
      </c>
      <c r="G20" s="82" t="s">
        <v>23</v>
      </c>
      <c r="H20" s="82" t="s">
        <v>77</v>
      </c>
      <c r="I20" s="82">
        <v>1399</v>
      </c>
      <c r="J20" s="82" t="s">
        <v>25</v>
      </c>
      <c r="K20" s="246" t="s">
        <v>17</v>
      </c>
      <c r="L20" s="230" t="s">
        <v>3</v>
      </c>
      <c r="M20" s="152"/>
      <c r="N20" s="230" t="s">
        <v>975</v>
      </c>
      <c r="O20" s="300" t="s">
        <v>56</v>
      </c>
      <c r="P20" s="80" t="s">
        <v>17</v>
      </c>
      <c r="Q20" s="278"/>
    </row>
    <row r="21" spans="1:17" s="34" customFormat="1" ht="57" customHeight="1">
      <c r="A21" s="588">
        <v>15</v>
      </c>
      <c r="B21" s="83" t="s">
        <v>75</v>
      </c>
      <c r="C21" s="83"/>
      <c r="D21" s="80" t="s">
        <v>40</v>
      </c>
      <c r="E21" s="164" t="s">
        <v>828</v>
      </c>
      <c r="F21" s="286">
        <f>3*1413600</f>
        <v>4240800</v>
      </c>
      <c r="G21" s="82" t="s">
        <v>23</v>
      </c>
      <c r="H21" s="82" t="s">
        <v>41</v>
      </c>
      <c r="I21" s="82">
        <v>1399</v>
      </c>
      <c r="J21" s="82" t="s">
        <v>25</v>
      </c>
      <c r="K21" s="246">
        <v>1</v>
      </c>
      <c r="L21" s="230"/>
      <c r="M21" s="152" t="s">
        <v>33</v>
      </c>
      <c r="N21" s="230"/>
      <c r="O21" s="192"/>
      <c r="P21" s="80"/>
    </row>
    <row r="22" spans="1:17" s="34" customFormat="1" ht="60.6" customHeight="1">
      <c r="A22" s="588">
        <v>16</v>
      </c>
      <c r="B22" s="83" t="s">
        <v>75</v>
      </c>
      <c r="C22" s="83"/>
      <c r="D22" s="80" t="s">
        <v>40</v>
      </c>
      <c r="E22" s="164" t="s">
        <v>827</v>
      </c>
      <c r="F22" s="286">
        <f>100* 58032</f>
        <v>5803200</v>
      </c>
      <c r="G22" s="82" t="s">
        <v>23</v>
      </c>
      <c r="H22" s="82" t="s">
        <v>41</v>
      </c>
      <c r="I22" s="82">
        <v>1399</v>
      </c>
      <c r="J22" s="82" t="s">
        <v>25</v>
      </c>
      <c r="K22" s="246">
        <v>1</v>
      </c>
      <c r="L22" s="230"/>
      <c r="M22" s="152" t="s">
        <v>33</v>
      </c>
      <c r="N22" s="230"/>
      <c r="O22" s="152"/>
      <c r="P22" s="80"/>
    </row>
    <row r="23" spans="1:17" s="314" customFormat="1" ht="126">
      <c r="A23" s="588">
        <v>17</v>
      </c>
      <c r="B23" s="354" t="s">
        <v>75</v>
      </c>
      <c r="C23" s="354"/>
      <c r="D23" s="437" t="s">
        <v>40</v>
      </c>
      <c r="E23" s="164" t="s">
        <v>346</v>
      </c>
      <c r="F23" s="436" t="s">
        <v>17</v>
      </c>
      <c r="G23" s="82" t="s">
        <v>17</v>
      </c>
      <c r="H23" s="82" t="s">
        <v>17</v>
      </c>
      <c r="I23" s="82">
        <v>1399</v>
      </c>
      <c r="J23" s="82" t="s">
        <v>25</v>
      </c>
      <c r="K23" s="246">
        <v>1</v>
      </c>
      <c r="L23" s="230"/>
      <c r="M23" s="696" t="s">
        <v>33</v>
      </c>
      <c r="N23" s="230"/>
      <c r="O23" s="193"/>
      <c r="P23" s="414" t="s">
        <v>83</v>
      </c>
    </row>
    <row r="24" spans="1:17" s="34" customFormat="1" ht="72">
      <c r="A24" s="588">
        <v>18</v>
      </c>
      <c r="B24" s="83" t="s">
        <v>75</v>
      </c>
      <c r="C24" s="83"/>
      <c r="D24" s="80" t="s">
        <v>40</v>
      </c>
      <c r="E24" s="164" t="s">
        <v>826</v>
      </c>
      <c r="F24" s="286">
        <f>1035* 148</f>
        <v>153180</v>
      </c>
      <c r="G24" s="82" t="s">
        <v>23</v>
      </c>
      <c r="H24" s="82" t="s">
        <v>41</v>
      </c>
      <c r="I24" s="82">
        <v>1399</v>
      </c>
      <c r="J24" s="82" t="s">
        <v>25</v>
      </c>
      <c r="K24" s="246">
        <v>1</v>
      </c>
      <c r="L24" s="230"/>
      <c r="M24" s="696" t="s">
        <v>33</v>
      </c>
      <c r="N24" s="230"/>
      <c r="O24" s="152"/>
      <c r="P24" s="80"/>
    </row>
    <row r="25" spans="1:17" s="34" customFormat="1" ht="72">
      <c r="A25" s="588">
        <v>19</v>
      </c>
      <c r="B25" s="83" t="s">
        <v>75</v>
      </c>
      <c r="C25" s="83"/>
      <c r="D25" s="80" t="s">
        <v>40</v>
      </c>
      <c r="E25" s="164" t="s">
        <v>86</v>
      </c>
      <c r="F25" s="286">
        <f>2* 375000</f>
        <v>750000</v>
      </c>
      <c r="G25" s="82" t="s">
        <v>23</v>
      </c>
      <c r="H25" s="82" t="s">
        <v>41</v>
      </c>
      <c r="I25" s="82">
        <v>1399</v>
      </c>
      <c r="J25" s="82" t="s">
        <v>25</v>
      </c>
      <c r="K25" s="246">
        <v>1</v>
      </c>
      <c r="L25" s="244"/>
      <c r="M25" s="696" t="s">
        <v>33</v>
      </c>
      <c r="N25" s="57"/>
      <c r="O25" s="57"/>
      <c r="P25" s="80"/>
    </row>
    <row r="26" spans="1:17" s="34" customFormat="1" ht="72">
      <c r="A26" s="588">
        <v>20</v>
      </c>
      <c r="B26" s="83" t="s">
        <v>75</v>
      </c>
      <c r="C26" s="83"/>
      <c r="D26" s="80" t="s">
        <v>40</v>
      </c>
      <c r="E26" s="164" t="s">
        <v>825</v>
      </c>
      <c r="F26" s="286">
        <f>23* 22320</f>
        <v>513360</v>
      </c>
      <c r="G26" s="82" t="s">
        <v>23</v>
      </c>
      <c r="H26" s="82" t="s">
        <v>41</v>
      </c>
      <c r="I26" s="82">
        <v>1399</v>
      </c>
      <c r="J26" s="82" t="s">
        <v>25</v>
      </c>
      <c r="K26" s="246">
        <v>1</v>
      </c>
      <c r="L26" s="230"/>
      <c r="M26" s="696" t="s">
        <v>33</v>
      </c>
      <c r="N26" s="230"/>
      <c r="O26" s="152"/>
      <c r="P26" s="80"/>
    </row>
    <row r="27" spans="1:17" s="34" customFormat="1" ht="108">
      <c r="A27" s="588">
        <v>21</v>
      </c>
      <c r="B27" s="83" t="s">
        <v>75</v>
      </c>
      <c r="C27" s="83"/>
      <c r="D27" s="80" t="s">
        <v>40</v>
      </c>
      <c r="E27" s="164" t="s">
        <v>512</v>
      </c>
      <c r="F27" s="311">
        <f>5* 3645</f>
        <v>18225</v>
      </c>
      <c r="G27" s="82" t="s">
        <v>23</v>
      </c>
      <c r="H27" s="82" t="s">
        <v>41</v>
      </c>
      <c r="I27" s="82">
        <v>1399</v>
      </c>
      <c r="J27" s="82" t="s">
        <v>25</v>
      </c>
      <c r="K27" s="246">
        <v>1</v>
      </c>
      <c r="L27" s="230" t="s">
        <v>947</v>
      </c>
      <c r="M27" s="696" t="s">
        <v>33</v>
      </c>
      <c r="N27" s="452" t="s">
        <v>325</v>
      </c>
      <c r="O27" s="22" t="s">
        <v>976</v>
      </c>
      <c r="P27" s="80" t="s">
        <v>17</v>
      </c>
    </row>
    <row r="28" spans="1:17" s="34" customFormat="1" ht="72">
      <c r="A28" s="588">
        <v>22</v>
      </c>
      <c r="B28" s="83" t="s">
        <v>75</v>
      </c>
      <c r="C28" s="83"/>
      <c r="D28" s="80" t="s">
        <v>40</v>
      </c>
      <c r="E28" s="164" t="s">
        <v>124</v>
      </c>
      <c r="F28" s="286">
        <f>5* 44640</f>
        <v>223200</v>
      </c>
      <c r="G28" s="82" t="s">
        <v>23</v>
      </c>
      <c r="H28" s="82" t="s">
        <v>41</v>
      </c>
      <c r="I28" s="82">
        <v>1399</v>
      </c>
      <c r="J28" s="82" t="s">
        <v>25</v>
      </c>
      <c r="K28" s="246">
        <v>1</v>
      </c>
      <c r="L28" s="230"/>
      <c r="M28" s="152" t="s">
        <v>33</v>
      </c>
      <c r="N28" s="230"/>
      <c r="O28" s="152"/>
      <c r="P28" s="80"/>
    </row>
    <row r="29" spans="1:17" s="34" customFormat="1" ht="72">
      <c r="A29" s="588">
        <v>23</v>
      </c>
      <c r="B29" s="83" t="s">
        <v>75</v>
      </c>
      <c r="C29" s="83"/>
      <c r="D29" s="80" t="s">
        <v>40</v>
      </c>
      <c r="E29" s="164" t="s">
        <v>824</v>
      </c>
      <c r="F29" s="286">
        <f>50* 1518</f>
        <v>75900</v>
      </c>
      <c r="G29" s="82" t="s">
        <v>23</v>
      </c>
      <c r="H29" s="82" t="s">
        <v>41</v>
      </c>
      <c r="I29" s="82">
        <v>1399</v>
      </c>
      <c r="J29" s="82" t="s">
        <v>25</v>
      </c>
      <c r="K29" s="246">
        <v>1</v>
      </c>
      <c r="L29" s="230"/>
      <c r="M29" s="152" t="s">
        <v>33</v>
      </c>
      <c r="N29" s="230"/>
      <c r="O29" s="152"/>
      <c r="P29" s="80"/>
    </row>
    <row r="30" spans="1:17" s="34" customFormat="1" ht="72">
      <c r="A30" s="588">
        <v>24</v>
      </c>
      <c r="B30" s="83" t="s">
        <v>75</v>
      </c>
      <c r="C30" s="83"/>
      <c r="D30" s="80" t="s">
        <v>40</v>
      </c>
      <c r="E30" s="164" t="s">
        <v>48</v>
      </c>
      <c r="F30" s="286">
        <f>2* 42514</f>
        <v>85028</v>
      </c>
      <c r="G30" s="82" t="s">
        <v>23</v>
      </c>
      <c r="H30" s="82" t="s">
        <v>41</v>
      </c>
      <c r="I30" s="82">
        <v>1399</v>
      </c>
      <c r="J30" s="82" t="s">
        <v>25</v>
      </c>
      <c r="K30" s="246">
        <v>1</v>
      </c>
      <c r="L30" s="230"/>
      <c r="M30" s="152" t="s">
        <v>33</v>
      </c>
      <c r="N30" s="230"/>
      <c r="O30" s="152"/>
      <c r="P30" s="80"/>
    </row>
    <row r="31" spans="1:17" s="34" customFormat="1" ht="72">
      <c r="A31" s="588">
        <v>25</v>
      </c>
      <c r="B31" s="83" t="s">
        <v>75</v>
      </c>
      <c r="C31" s="83"/>
      <c r="D31" s="80" t="s">
        <v>40</v>
      </c>
      <c r="E31" s="152" t="s">
        <v>152</v>
      </c>
      <c r="F31" s="286">
        <f>50*1041</f>
        <v>52050</v>
      </c>
      <c r="G31" s="82" t="s">
        <v>23</v>
      </c>
      <c r="H31" s="82" t="s">
        <v>41</v>
      </c>
      <c r="I31" s="82">
        <v>1399</v>
      </c>
      <c r="J31" s="82" t="s">
        <v>25</v>
      </c>
      <c r="K31" s="246">
        <v>1</v>
      </c>
      <c r="L31" s="230"/>
      <c r="M31" s="152" t="s">
        <v>33</v>
      </c>
      <c r="N31" s="230"/>
      <c r="O31" s="152"/>
      <c r="P31" s="80"/>
    </row>
    <row r="32" spans="1:17" s="34" customFormat="1" ht="72">
      <c r="A32" s="588">
        <v>26</v>
      </c>
      <c r="B32" s="83" t="s">
        <v>75</v>
      </c>
      <c r="C32" s="83"/>
      <c r="D32" s="80" t="s">
        <v>40</v>
      </c>
      <c r="E32" s="152" t="s">
        <v>153</v>
      </c>
      <c r="F32" s="286">
        <f>100* 729</f>
        <v>72900</v>
      </c>
      <c r="G32" s="82" t="s">
        <v>23</v>
      </c>
      <c r="H32" s="82" t="s">
        <v>41</v>
      </c>
      <c r="I32" s="82">
        <v>1399</v>
      </c>
      <c r="J32" s="82" t="s">
        <v>25</v>
      </c>
      <c r="K32" s="246">
        <v>1</v>
      </c>
      <c r="L32" s="230"/>
      <c r="M32" s="152" t="s">
        <v>33</v>
      </c>
      <c r="N32" s="230"/>
      <c r="O32" s="152"/>
      <c r="P32" s="80"/>
    </row>
    <row r="33" spans="1:16" s="34" customFormat="1" ht="72">
      <c r="A33" s="588">
        <v>27</v>
      </c>
      <c r="B33" s="83" t="s">
        <v>75</v>
      </c>
      <c r="C33" s="83"/>
      <c r="D33" s="80" t="s">
        <v>40</v>
      </c>
      <c r="E33" s="152" t="s">
        <v>93</v>
      </c>
      <c r="F33" s="286">
        <f>100*911</f>
        <v>91100</v>
      </c>
      <c r="G33" s="82" t="s">
        <v>23</v>
      </c>
      <c r="H33" s="82" t="s">
        <v>41</v>
      </c>
      <c r="I33" s="82">
        <v>1399</v>
      </c>
      <c r="J33" s="82" t="s">
        <v>25</v>
      </c>
      <c r="K33" s="246">
        <v>1</v>
      </c>
      <c r="L33" s="230"/>
      <c r="M33" s="152" t="s">
        <v>33</v>
      </c>
      <c r="N33" s="230"/>
      <c r="O33" s="152"/>
      <c r="P33" s="80"/>
    </row>
    <row r="34" spans="1:16" s="34" customFormat="1" ht="72">
      <c r="A34" s="588">
        <v>28</v>
      </c>
      <c r="B34" s="83" t="s">
        <v>75</v>
      </c>
      <c r="C34" s="83"/>
      <c r="D34" s="80" t="s">
        <v>40</v>
      </c>
      <c r="E34" s="164" t="s">
        <v>234</v>
      </c>
      <c r="F34" s="286">
        <f>500* 315</f>
        <v>157500</v>
      </c>
      <c r="G34" s="82" t="s">
        <v>23</v>
      </c>
      <c r="H34" s="82" t="s">
        <v>41</v>
      </c>
      <c r="I34" s="82">
        <v>1399</v>
      </c>
      <c r="J34" s="82" t="s">
        <v>25</v>
      </c>
      <c r="K34" s="246">
        <v>1</v>
      </c>
      <c r="L34" s="230"/>
      <c r="M34" s="152" t="s">
        <v>33</v>
      </c>
      <c r="N34" s="230"/>
      <c r="O34" s="152"/>
      <c r="P34" s="80"/>
    </row>
    <row r="35" spans="1:16" s="34" customFormat="1" ht="72">
      <c r="A35" s="588">
        <v>29</v>
      </c>
      <c r="B35" s="83" t="s">
        <v>75</v>
      </c>
      <c r="C35" s="83"/>
      <c r="D35" s="80" t="s">
        <v>40</v>
      </c>
      <c r="E35" s="164" t="s">
        <v>94</v>
      </c>
      <c r="F35" s="286">
        <f>2* 45570</f>
        <v>91140</v>
      </c>
      <c r="G35" s="82" t="s">
        <v>23</v>
      </c>
      <c r="H35" s="82" t="s">
        <v>41</v>
      </c>
      <c r="I35" s="82">
        <v>1399</v>
      </c>
      <c r="J35" s="82" t="s">
        <v>25</v>
      </c>
      <c r="K35" s="246">
        <v>1</v>
      </c>
      <c r="L35" s="230"/>
      <c r="M35" s="152" t="s">
        <v>33</v>
      </c>
      <c r="N35" s="230"/>
      <c r="O35" s="152"/>
      <c r="P35" s="80"/>
    </row>
    <row r="36" spans="1:16" s="34" customFormat="1" ht="72">
      <c r="A36" s="588">
        <v>30</v>
      </c>
      <c r="B36" s="83" t="s">
        <v>75</v>
      </c>
      <c r="C36" s="83"/>
      <c r="D36" s="80" t="s">
        <v>40</v>
      </c>
      <c r="E36" s="164" t="s">
        <v>51</v>
      </c>
      <c r="F36" s="286">
        <f>5* 10416</f>
        <v>52080</v>
      </c>
      <c r="G36" s="82" t="s">
        <v>23</v>
      </c>
      <c r="H36" s="82" t="s">
        <v>41</v>
      </c>
      <c r="I36" s="82">
        <v>1399</v>
      </c>
      <c r="J36" s="82" t="s">
        <v>25</v>
      </c>
      <c r="K36" s="246">
        <v>1</v>
      </c>
      <c r="L36" s="230"/>
      <c r="M36" s="152" t="s">
        <v>33</v>
      </c>
      <c r="N36" s="230"/>
      <c r="O36" s="152"/>
      <c r="P36" s="80"/>
    </row>
    <row r="37" spans="1:16" s="34" customFormat="1" ht="72">
      <c r="A37" s="588">
        <v>31</v>
      </c>
      <c r="B37" s="83" t="s">
        <v>75</v>
      </c>
      <c r="C37" s="83"/>
      <c r="D37" s="80" t="s">
        <v>40</v>
      </c>
      <c r="E37" s="164" t="s">
        <v>104</v>
      </c>
      <c r="F37" s="286">
        <f>10*36456</f>
        <v>364560</v>
      </c>
      <c r="G37" s="82" t="s">
        <v>23</v>
      </c>
      <c r="H37" s="82" t="s">
        <v>41</v>
      </c>
      <c r="I37" s="82">
        <v>1399</v>
      </c>
      <c r="J37" s="82" t="s">
        <v>25</v>
      </c>
      <c r="K37" s="246">
        <v>1</v>
      </c>
      <c r="L37" s="230"/>
      <c r="M37" s="152" t="s">
        <v>33</v>
      </c>
      <c r="N37" s="230"/>
      <c r="O37" s="152"/>
      <c r="P37" s="80"/>
    </row>
    <row r="38" spans="1:16" s="34" customFormat="1" ht="82.9" customHeight="1">
      <c r="A38" s="588">
        <v>32</v>
      </c>
      <c r="B38" s="83" t="s">
        <v>75</v>
      </c>
      <c r="C38" s="83"/>
      <c r="D38" s="80" t="s">
        <v>40</v>
      </c>
      <c r="E38" s="164" t="s">
        <v>823</v>
      </c>
      <c r="F38" s="311">
        <v>2695000</v>
      </c>
      <c r="G38" s="82" t="s">
        <v>23</v>
      </c>
      <c r="H38" s="82" t="s">
        <v>41</v>
      </c>
      <c r="I38" s="82">
        <v>1399</v>
      </c>
      <c r="J38" s="82" t="s">
        <v>25</v>
      </c>
      <c r="K38" s="246">
        <v>1</v>
      </c>
      <c r="L38" s="230" t="s">
        <v>947</v>
      </c>
      <c r="M38" s="696" t="s">
        <v>33</v>
      </c>
      <c r="N38" s="452" t="s">
        <v>325</v>
      </c>
      <c r="O38" s="22" t="s">
        <v>976</v>
      </c>
      <c r="P38" s="80"/>
    </row>
    <row r="39" spans="1:16" s="34" customFormat="1" ht="72">
      <c r="A39" s="588">
        <v>33</v>
      </c>
      <c r="B39" s="83" t="s">
        <v>75</v>
      </c>
      <c r="C39" s="83"/>
      <c r="D39" s="80" t="s">
        <v>40</v>
      </c>
      <c r="E39" s="164" t="s">
        <v>660</v>
      </c>
      <c r="F39" s="286">
        <f>9*66000</f>
        <v>594000</v>
      </c>
      <c r="G39" s="82" t="s">
        <v>23</v>
      </c>
      <c r="H39" s="82" t="s">
        <v>41</v>
      </c>
      <c r="I39" s="82">
        <v>1399</v>
      </c>
      <c r="J39" s="82" t="s">
        <v>25</v>
      </c>
      <c r="K39" s="246">
        <v>1</v>
      </c>
      <c r="L39" s="230"/>
      <c r="M39" s="152" t="s">
        <v>33</v>
      </c>
      <c r="N39" s="230"/>
      <c r="O39" s="152"/>
      <c r="P39" s="80"/>
    </row>
    <row r="40" spans="1:16" s="34" customFormat="1" ht="72">
      <c r="A40" s="588">
        <v>34</v>
      </c>
      <c r="B40" s="83" t="s">
        <v>75</v>
      </c>
      <c r="C40" s="83"/>
      <c r="D40" s="80" t="s">
        <v>40</v>
      </c>
      <c r="E40" s="164" t="s">
        <v>658</v>
      </c>
      <c r="F40" s="286">
        <f>18*30000</f>
        <v>540000</v>
      </c>
      <c r="G40" s="82" t="s">
        <v>23</v>
      </c>
      <c r="H40" s="82" t="s">
        <v>41</v>
      </c>
      <c r="I40" s="82">
        <v>1399</v>
      </c>
      <c r="J40" s="82" t="s">
        <v>25</v>
      </c>
      <c r="K40" s="246">
        <v>1</v>
      </c>
      <c r="L40" s="230"/>
      <c r="M40" s="696" t="s">
        <v>33</v>
      </c>
      <c r="N40" s="312"/>
      <c r="O40" s="152"/>
      <c r="P40" s="80"/>
    </row>
    <row r="41" spans="1:16" s="34" customFormat="1" ht="91.15" customHeight="1">
      <c r="A41" s="588">
        <v>35</v>
      </c>
      <c r="B41" s="83" t="s">
        <v>75</v>
      </c>
      <c r="C41" s="83"/>
      <c r="D41" s="80" t="s">
        <v>40</v>
      </c>
      <c r="E41" s="164" t="s">
        <v>657</v>
      </c>
      <c r="F41" s="311">
        <f>1170* 900</f>
        <v>1053000</v>
      </c>
      <c r="G41" s="82" t="s">
        <v>23</v>
      </c>
      <c r="H41" s="82" t="s">
        <v>41</v>
      </c>
      <c r="I41" s="82">
        <v>1399</v>
      </c>
      <c r="J41" s="82" t="s">
        <v>25</v>
      </c>
      <c r="K41" s="246">
        <v>1</v>
      </c>
      <c r="L41" s="230" t="s">
        <v>947</v>
      </c>
      <c r="M41" s="696" t="s">
        <v>33</v>
      </c>
      <c r="N41" s="452" t="s">
        <v>325</v>
      </c>
      <c r="O41" s="22" t="s">
        <v>976</v>
      </c>
      <c r="P41" s="80"/>
    </row>
    <row r="42" spans="1:16" ht="36">
      <c r="A42" s="588">
        <v>36</v>
      </c>
      <c r="B42" s="83" t="s">
        <v>75</v>
      </c>
      <c r="C42" s="83"/>
      <c r="D42" s="57" t="s">
        <v>54</v>
      </c>
      <c r="E42" s="57" t="s">
        <v>822</v>
      </c>
      <c r="F42" s="286">
        <v>20961150</v>
      </c>
      <c r="G42" s="64" t="s">
        <v>23</v>
      </c>
      <c r="H42" s="64" t="s">
        <v>77</v>
      </c>
      <c r="I42" s="64">
        <v>1399</v>
      </c>
      <c r="J42" s="64" t="s">
        <v>25</v>
      </c>
      <c r="K42" s="246">
        <v>1</v>
      </c>
      <c r="L42" s="445"/>
      <c r="M42" s="696" t="s">
        <v>33</v>
      </c>
      <c r="N42" s="82"/>
      <c r="O42" s="65"/>
      <c r="P42" s="82" t="s">
        <v>17</v>
      </c>
    </row>
    <row r="43" spans="1:16" ht="54">
      <c r="A43" s="588">
        <v>37</v>
      </c>
      <c r="B43" s="83" t="s">
        <v>75</v>
      </c>
      <c r="C43" s="83"/>
      <c r="D43" s="80" t="s">
        <v>76</v>
      </c>
      <c r="E43" s="152" t="s">
        <v>821</v>
      </c>
      <c r="F43" s="295">
        <v>248328870</v>
      </c>
      <c r="G43" s="82" t="s">
        <v>23</v>
      </c>
      <c r="H43" s="82" t="s">
        <v>77</v>
      </c>
      <c r="I43" s="82">
        <v>1399</v>
      </c>
      <c r="J43" s="82" t="s">
        <v>25</v>
      </c>
      <c r="K43" s="106">
        <v>1</v>
      </c>
      <c r="L43" s="82"/>
      <c r="M43" s="696" t="s">
        <v>33</v>
      </c>
      <c r="N43" s="82"/>
      <c r="O43" s="65"/>
      <c r="P43" s="82"/>
    </row>
    <row r="44" spans="1:16" s="34" customFormat="1" ht="62.45" customHeight="1">
      <c r="A44" s="588">
        <v>38</v>
      </c>
      <c r="B44" s="354" t="s">
        <v>75</v>
      </c>
      <c r="C44" s="354" t="s">
        <v>1063</v>
      </c>
      <c r="D44" s="469" t="s">
        <v>111</v>
      </c>
      <c r="E44" s="462" t="s">
        <v>1126</v>
      </c>
      <c r="F44" s="457">
        <v>210000</v>
      </c>
      <c r="G44" s="82" t="s">
        <v>23</v>
      </c>
      <c r="H44" s="82" t="s">
        <v>77</v>
      </c>
      <c r="I44" s="82">
        <v>1399</v>
      </c>
      <c r="J44" s="82" t="s">
        <v>25</v>
      </c>
      <c r="K44" s="109">
        <v>1</v>
      </c>
      <c r="L44" s="649"/>
      <c r="M44" s="40" t="s">
        <v>1116</v>
      </c>
      <c r="N44" s="467"/>
      <c r="O44" s="22"/>
      <c r="P44" s="182"/>
    </row>
    <row r="45" spans="1:16" s="34" customFormat="1" ht="54">
      <c r="A45" s="588">
        <v>39</v>
      </c>
      <c r="B45" s="354" t="s">
        <v>75</v>
      </c>
      <c r="C45" s="354" t="s">
        <v>1063</v>
      </c>
      <c r="D45" s="469" t="s">
        <v>111</v>
      </c>
      <c r="E45" s="462" t="s">
        <v>112</v>
      </c>
      <c r="F45" s="457">
        <v>240000</v>
      </c>
      <c r="G45" s="82" t="s">
        <v>23</v>
      </c>
      <c r="H45" s="82" t="s">
        <v>77</v>
      </c>
      <c r="I45" s="82">
        <v>1399</v>
      </c>
      <c r="J45" s="82" t="s">
        <v>25</v>
      </c>
      <c r="K45" s="109">
        <v>1</v>
      </c>
      <c r="L45" s="649"/>
      <c r="M45" s="40" t="s">
        <v>1116</v>
      </c>
      <c r="N45" s="467"/>
      <c r="O45" s="22"/>
      <c r="P45" s="182"/>
    </row>
    <row r="46" spans="1:16" s="34" customFormat="1" ht="68.45" customHeight="1">
      <c r="A46" s="588">
        <v>40</v>
      </c>
      <c r="B46" s="354" t="s">
        <v>75</v>
      </c>
      <c r="C46" s="354" t="s">
        <v>1009</v>
      </c>
      <c r="D46" s="469" t="s">
        <v>111</v>
      </c>
      <c r="E46" s="462" t="s">
        <v>1127</v>
      </c>
      <c r="F46" s="457">
        <v>2000000</v>
      </c>
      <c r="G46" s="82" t="s">
        <v>23</v>
      </c>
      <c r="H46" s="82" t="s">
        <v>77</v>
      </c>
      <c r="I46" s="82">
        <v>1399</v>
      </c>
      <c r="J46" s="82" t="s">
        <v>25</v>
      </c>
      <c r="K46" s="246"/>
      <c r="L46" s="82" t="s">
        <v>1828</v>
      </c>
      <c r="M46" s="40"/>
      <c r="N46" s="22" t="s">
        <v>1839</v>
      </c>
      <c r="O46" s="22" t="s">
        <v>1129</v>
      </c>
      <c r="P46" s="182"/>
    </row>
    <row r="47" spans="1:16" s="34" customFormat="1" ht="53.45" customHeight="1">
      <c r="A47" s="588">
        <v>41</v>
      </c>
      <c r="B47" s="354" t="s">
        <v>75</v>
      </c>
      <c r="C47" s="714" t="s">
        <v>1130</v>
      </c>
      <c r="D47" s="440" t="s">
        <v>500</v>
      </c>
      <c r="E47" s="40" t="s">
        <v>1131</v>
      </c>
      <c r="F47" s="30">
        <v>13785485</v>
      </c>
      <c r="G47" s="718" t="s">
        <v>23</v>
      </c>
      <c r="H47" s="718" t="s">
        <v>77</v>
      </c>
      <c r="I47" s="718">
        <v>1399</v>
      </c>
      <c r="J47" s="718" t="s">
        <v>25</v>
      </c>
      <c r="K47" s="109">
        <v>1</v>
      </c>
      <c r="L47" s="440"/>
      <c r="M47" s="40" t="s">
        <v>1116</v>
      </c>
      <c r="N47" s="718"/>
      <c r="O47" s="22"/>
      <c r="P47" s="440"/>
    </row>
    <row r="48" spans="1:16" s="34" customFormat="1" ht="57.6" customHeight="1">
      <c r="A48" s="588">
        <v>42</v>
      </c>
      <c r="B48" s="354" t="s">
        <v>75</v>
      </c>
      <c r="C48" s="714" t="s">
        <v>1132</v>
      </c>
      <c r="D48" s="440" t="s">
        <v>500</v>
      </c>
      <c r="E48" s="40" t="s">
        <v>401</v>
      </c>
      <c r="F48" s="30">
        <v>4424000</v>
      </c>
      <c r="G48" s="718" t="s">
        <v>23</v>
      </c>
      <c r="H48" s="718" t="s">
        <v>77</v>
      </c>
      <c r="I48" s="718">
        <v>1399</v>
      </c>
      <c r="J48" s="718" t="s">
        <v>25</v>
      </c>
      <c r="K48" s="109">
        <v>1</v>
      </c>
      <c r="L48" s="440"/>
      <c r="M48" s="40" t="s">
        <v>1116</v>
      </c>
      <c r="N48" s="718"/>
      <c r="O48" s="22"/>
      <c r="P48" s="440"/>
    </row>
    <row r="49" spans="1:16" s="34" customFormat="1" ht="60" customHeight="1">
      <c r="A49" s="588">
        <v>43</v>
      </c>
      <c r="B49" s="354" t="s">
        <v>75</v>
      </c>
      <c r="C49" s="714" t="s">
        <v>1133</v>
      </c>
      <c r="D49" s="440" t="s">
        <v>500</v>
      </c>
      <c r="E49" s="40" t="s">
        <v>1134</v>
      </c>
      <c r="F49" s="30">
        <v>53180388</v>
      </c>
      <c r="G49" s="718" t="s">
        <v>23</v>
      </c>
      <c r="H49" s="718" t="s">
        <v>77</v>
      </c>
      <c r="I49" s="718">
        <v>1399</v>
      </c>
      <c r="J49" s="718" t="s">
        <v>25</v>
      </c>
      <c r="K49" s="109">
        <v>1</v>
      </c>
      <c r="L49" s="440"/>
      <c r="M49" s="40" t="s">
        <v>1116</v>
      </c>
      <c r="N49" s="718"/>
      <c r="O49" s="22"/>
      <c r="P49" s="440"/>
    </row>
    <row r="50" spans="1:16" s="34" customFormat="1" ht="70.900000000000006" customHeight="1">
      <c r="A50" s="588">
        <v>44</v>
      </c>
      <c r="B50" s="354" t="s">
        <v>75</v>
      </c>
      <c r="C50" s="714"/>
      <c r="D50" s="440" t="s">
        <v>500</v>
      </c>
      <c r="E50" s="40" t="s">
        <v>502</v>
      </c>
      <c r="F50" s="30">
        <v>1540000</v>
      </c>
      <c r="G50" s="718" t="s">
        <v>23</v>
      </c>
      <c r="H50" s="718" t="s">
        <v>393</v>
      </c>
      <c r="I50" s="718">
        <v>1400</v>
      </c>
      <c r="J50" s="718" t="s">
        <v>25</v>
      </c>
      <c r="K50" s="109"/>
      <c r="L50" s="440" t="s">
        <v>3</v>
      </c>
      <c r="M50" s="40"/>
      <c r="N50" s="22" t="s">
        <v>325</v>
      </c>
      <c r="O50" s="22" t="s">
        <v>56</v>
      </c>
      <c r="P50" s="440"/>
    </row>
    <row r="51" spans="1:16" s="34" customFormat="1" ht="85.9" customHeight="1">
      <c r="A51" s="588">
        <v>45</v>
      </c>
      <c r="B51" s="354" t="s">
        <v>75</v>
      </c>
      <c r="C51" s="714"/>
      <c r="D51" s="440" t="s">
        <v>500</v>
      </c>
      <c r="E51" s="40" t="s">
        <v>501</v>
      </c>
      <c r="F51" s="30">
        <v>1540000</v>
      </c>
      <c r="G51" s="718" t="s">
        <v>23</v>
      </c>
      <c r="H51" s="718" t="s">
        <v>393</v>
      </c>
      <c r="I51" s="718">
        <v>1400</v>
      </c>
      <c r="J51" s="718" t="s">
        <v>25</v>
      </c>
      <c r="K51" s="109"/>
      <c r="L51" s="440" t="s">
        <v>3</v>
      </c>
      <c r="M51" s="40"/>
      <c r="N51" s="22" t="s">
        <v>325</v>
      </c>
      <c r="O51" s="22" t="s">
        <v>56</v>
      </c>
      <c r="P51" s="440"/>
    </row>
    <row r="52" spans="1:16" s="34" customFormat="1" ht="49.5" customHeight="1">
      <c r="A52" s="588">
        <v>46</v>
      </c>
      <c r="B52" s="354" t="s">
        <v>75</v>
      </c>
      <c r="C52" s="714"/>
      <c r="D52" s="440" t="s">
        <v>500</v>
      </c>
      <c r="E52" s="40" t="s">
        <v>1135</v>
      </c>
      <c r="F52" s="30">
        <v>5390000</v>
      </c>
      <c r="G52" s="718" t="s">
        <v>23</v>
      </c>
      <c r="H52" s="718" t="s">
        <v>393</v>
      </c>
      <c r="I52" s="718">
        <v>1399</v>
      </c>
      <c r="J52" s="718" t="s">
        <v>25</v>
      </c>
      <c r="K52" s="109" t="s">
        <v>17</v>
      </c>
      <c r="L52" s="440" t="s">
        <v>3</v>
      </c>
      <c r="M52" s="40"/>
      <c r="N52" s="635" t="s">
        <v>1866</v>
      </c>
      <c r="O52" s="22" t="s">
        <v>1836</v>
      </c>
      <c r="P52" s="493" t="s">
        <v>17</v>
      </c>
    </row>
    <row r="53" spans="1:16" s="34" customFormat="1" ht="50.45" customHeight="1">
      <c r="A53" s="588">
        <v>47</v>
      </c>
      <c r="B53" s="354" t="s">
        <v>75</v>
      </c>
      <c r="C53" s="714"/>
      <c r="D53" s="440" t="s">
        <v>500</v>
      </c>
      <c r="E53" s="40" t="s">
        <v>400</v>
      </c>
      <c r="F53" s="800" t="s">
        <v>399</v>
      </c>
      <c r="G53" s="718" t="s">
        <v>23</v>
      </c>
      <c r="H53" s="718" t="s">
        <v>393</v>
      </c>
      <c r="I53" s="718">
        <v>1399</v>
      </c>
      <c r="J53" s="718" t="s">
        <v>25</v>
      </c>
      <c r="K53" s="109">
        <v>0.05</v>
      </c>
      <c r="L53" s="718"/>
      <c r="M53" s="40" t="s">
        <v>42</v>
      </c>
      <c r="N53" s="718"/>
      <c r="O53" s="22"/>
      <c r="P53" s="660" t="s">
        <v>1136</v>
      </c>
    </row>
    <row r="54" spans="1:16" s="34" customFormat="1" ht="55.9" customHeight="1">
      <c r="A54" s="588">
        <v>48</v>
      </c>
      <c r="B54" s="354" t="s">
        <v>75</v>
      </c>
      <c r="C54" s="714"/>
      <c r="D54" s="440" t="s">
        <v>500</v>
      </c>
      <c r="E54" s="40" t="s">
        <v>398</v>
      </c>
      <c r="F54" s="801"/>
      <c r="G54" s="718" t="s">
        <v>23</v>
      </c>
      <c r="H54" s="718" t="s">
        <v>393</v>
      </c>
      <c r="I54" s="718">
        <v>1399</v>
      </c>
      <c r="J54" s="718" t="s">
        <v>25</v>
      </c>
      <c r="K54" s="109">
        <v>0.05</v>
      </c>
      <c r="L54" s="105"/>
      <c r="M54" s="40" t="s">
        <v>42</v>
      </c>
      <c r="N54" s="105"/>
      <c r="O54" s="27"/>
      <c r="P54" s="660" t="s">
        <v>1136</v>
      </c>
    </row>
    <row r="55" spans="1:16" s="34" customFormat="1" ht="57.6" customHeight="1">
      <c r="A55" s="588">
        <v>49</v>
      </c>
      <c r="B55" s="354" t="s">
        <v>75</v>
      </c>
      <c r="C55" s="714"/>
      <c r="D55" s="440" t="s">
        <v>500</v>
      </c>
      <c r="E55" s="40" t="s">
        <v>397</v>
      </c>
      <c r="F55" s="801"/>
      <c r="G55" s="718" t="s">
        <v>23</v>
      </c>
      <c r="H55" s="718" t="s">
        <v>393</v>
      </c>
      <c r="I55" s="718">
        <v>1399</v>
      </c>
      <c r="J55" s="718" t="s">
        <v>25</v>
      </c>
      <c r="K55" s="109">
        <v>0.05</v>
      </c>
      <c r="L55" s="440"/>
      <c r="M55" s="40" t="s">
        <v>42</v>
      </c>
      <c r="N55" s="440"/>
      <c r="O55" s="40"/>
      <c r="P55" s="660" t="s">
        <v>1136</v>
      </c>
    </row>
    <row r="56" spans="1:16" s="34" customFormat="1" ht="54.6" customHeight="1">
      <c r="A56" s="588">
        <v>50</v>
      </c>
      <c r="B56" s="354" t="s">
        <v>75</v>
      </c>
      <c r="C56" s="714"/>
      <c r="D56" s="440" t="s">
        <v>500</v>
      </c>
      <c r="E56" s="40" t="s">
        <v>396</v>
      </c>
      <c r="F56" s="801"/>
      <c r="G56" s="718" t="s">
        <v>23</v>
      </c>
      <c r="H56" s="718" t="s">
        <v>393</v>
      </c>
      <c r="I56" s="718">
        <v>1399</v>
      </c>
      <c r="J56" s="718" t="s">
        <v>25</v>
      </c>
      <c r="K56" s="109">
        <v>0.05</v>
      </c>
      <c r="L56" s="718"/>
      <c r="M56" s="40" t="s">
        <v>42</v>
      </c>
      <c r="N56" s="718"/>
      <c r="O56" s="22"/>
      <c r="P56" s="660" t="s">
        <v>1136</v>
      </c>
    </row>
    <row r="57" spans="1:16" s="34" customFormat="1" ht="56.45" customHeight="1">
      <c r="A57" s="588">
        <v>51</v>
      </c>
      <c r="B57" s="354" t="s">
        <v>75</v>
      </c>
      <c r="C57" s="714"/>
      <c r="D57" s="440" t="s">
        <v>500</v>
      </c>
      <c r="E57" s="40" t="s">
        <v>395</v>
      </c>
      <c r="F57" s="801"/>
      <c r="G57" s="718" t="s">
        <v>23</v>
      </c>
      <c r="H57" s="718" t="s">
        <v>393</v>
      </c>
      <c r="I57" s="718">
        <v>1399</v>
      </c>
      <c r="J57" s="718" t="s">
        <v>25</v>
      </c>
      <c r="K57" s="109">
        <v>0.05</v>
      </c>
      <c r="L57" s="718"/>
      <c r="M57" s="40" t="s">
        <v>42</v>
      </c>
      <c r="N57" s="718"/>
      <c r="O57" s="22"/>
      <c r="P57" s="660" t="s">
        <v>1136</v>
      </c>
    </row>
    <row r="58" spans="1:16" s="34" customFormat="1" ht="54" customHeight="1">
      <c r="A58" s="588">
        <v>52</v>
      </c>
      <c r="B58" s="354" t="s">
        <v>75</v>
      </c>
      <c r="C58" s="714"/>
      <c r="D58" s="440" t="s">
        <v>500</v>
      </c>
      <c r="E58" s="40" t="s">
        <v>394</v>
      </c>
      <c r="F58" s="802"/>
      <c r="G58" s="718" t="s">
        <v>23</v>
      </c>
      <c r="H58" s="718" t="s">
        <v>393</v>
      </c>
      <c r="I58" s="718">
        <v>1399</v>
      </c>
      <c r="J58" s="718" t="s">
        <v>25</v>
      </c>
      <c r="K58" s="109">
        <v>0.05</v>
      </c>
      <c r="L58" s="440"/>
      <c r="M58" s="40" t="s">
        <v>42</v>
      </c>
      <c r="N58" s="440"/>
      <c r="O58" s="40"/>
      <c r="P58" s="660" t="s">
        <v>1136</v>
      </c>
    </row>
    <row r="59" spans="1:16" s="559" customFormat="1" ht="52.15" customHeight="1">
      <c r="A59" s="588">
        <v>53</v>
      </c>
      <c r="B59" s="354" t="s">
        <v>75</v>
      </c>
      <c r="C59" s="354"/>
      <c r="D59" s="560" t="s">
        <v>73</v>
      </c>
      <c r="E59" s="237" t="s">
        <v>74</v>
      </c>
      <c r="F59" s="310">
        <v>455327.08199999999</v>
      </c>
      <c r="G59" s="561" t="s">
        <v>23</v>
      </c>
      <c r="H59" s="561" t="s">
        <v>77</v>
      </c>
      <c r="I59" s="561">
        <v>1399</v>
      </c>
      <c r="J59" s="561" t="s">
        <v>25</v>
      </c>
      <c r="K59" s="265"/>
      <c r="L59" s="561" t="s">
        <v>3</v>
      </c>
      <c r="M59" s="568"/>
      <c r="N59" s="623" t="s">
        <v>581</v>
      </c>
      <c r="O59" s="236" t="s">
        <v>1833</v>
      </c>
      <c r="P59" s="560"/>
    </row>
    <row r="60" spans="1:16" s="559" customFormat="1" ht="61.5" customHeight="1">
      <c r="A60" s="588">
        <v>54</v>
      </c>
      <c r="B60" s="354" t="s">
        <v>75</v>
      </c>
      <c r="C60" s="354"/>
      <c r="D60" s="560" t="s">
        <v>73</v>
      </c>
      <c r="E60" s="237" t="s">
        <v>97</v>
      </c>
      <c r="F60" s="310">
        <v>1282840</v>
      </c>
      <c r="G60" s="561" t="s">
        <v>23</v>
      </c>
      <c r="H60" s="561" t="s">
        <v>77</v>
      </c>
      <c r="I60" s="561">
        <v>1399</v>
      </c>
      <c r="J60" s="561" t="s">
        <v>25</v>
      </c>
      <c r="K60" s="265"/>
      <c r="L60" s="561" t="s">
        <v>3</v>
      </c>
      <c r="M60" s="40"/>
      <c r="N60" s="623" t="s">
        <v>581</v>
      </c>
      <c r="O60" s="236" t="s">
        <v>1833</v>
      </c>
      <c r="P60" s="560"/>
    </row>
  </sheetData>
  <autoFilter ref="D1:D43"/>
  <mergeCells count="14">
    <mergeCell ref="F53:F58"/>
    <mergeCell ref="A1:P4"/>
    <mergeCell ref="A5:A6"/>
    <mergeCell ref="B5:B6"/>
    <mergeCell ref="C5:C6"/>
    <mergeCell ref="D5:D6"/>
    <mergeCell ref="E5:E6"/>
    <mergeCell ref="F5:H5"/>
    <mergeCell ref="I5:I6"/>
    <mergeCell ref="J5:J6"/>
    <mergeCell ref="K5:K6"/>
    <mergeCell ref="L5:M5"/>
    <mergeCell ref="N5:N6"/>
    <mergeCell ref="O5:O6"/>
  </mergeCells>
  <printOptions horizontalCentered="1"/>
  <pageMargins left="0.2" right="0.2" top="0.5" bottom="0.5" header="0.3" footer="0.3"/>
  <pageSetup paperSize="9" scale="62"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sheetPr>
    <tabColor rgb="FF92D050"/>
  </sheetPr>
  <dimension ref="A1:S116"/>
  <sheetViews>
    <sheetView rightToLeft="1" view="pageBreakPreview" zoomScale="80" zoomScaleSheetLayoutView="80" workbookViewId="0">
      <pane xSplit="1" ySplit="6" topLeftCell="B111" activePane="bottomRight" state="frozen"/>
      <selection pane="topRight" activeCell="B1" sqref="B1"/>
      <selection pane="bottomLeft" activeCell="A4" sqref="A4"/>
      <selection pane="bottomRight" activeCell="K116" sqref="K116"/>
    </sheetView>
  </sheetViews>
  <sheetFormatPr defaultColWidth="9.140625" defaultRowHeight="15"/>
  <cols>
    <col min="1" max="1" width="6.7109375" style="1" customWidth="1"/>
    <col min="2" max="2" width="17.85546875" style="3" customWidth="1"/>
    <col min="3" max="3" width="8.7109375" style="3" customWidth="1"/>
    <col min="4" max="4" width="14" style="7" customWidth="1"/>
    <col min="5" max="5" width="31.140625" style="7" customWidth="1"/>
    <col min="6" max="6" width="19.7109375" style="2" customWidth="1"/>
    <col min="7" max="7" width="10.28515625" style="2" customWidth="1"/>
    <col min="8" max="8" width="12.140625" style="10" customWidth="1"/>
    <col min="9" max="9" width="13.85546875" style="1" customWidth="1"/>
    <col min="10" max="10" width="17.140625" style="9" customWidth="1"/>
    <col min="11" max="11" width="13.42578125" style="264" customWidth="1"/>
    <col min="12" max="12" width="11.28515625" style="145" customWidth="1"/>
    <col min="13" max="13" width="15" style="313" customWidth="1"/>
    <col min="14" max="14" width="23.7109375" style="9" customWidth="1"/>
    <col min="15" max="15" width="19.28515625" style="9" customWidth="1"/>
    <col min="16" max="16" width="15.5703125" style="145" customWidth="1"/>
    <col min="17" max="16384" width="9.140625" style="145"/>
  </cols>
  <sheetData>
    <row r="1" spans="1:16" ht="18" customHeight="1">
      <c r="A1" s="788" t="s">
        <v>1957</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6.45" customHeight="1">
      <c r="A5" s="791" t="s">
        <v>0</v>
      </c>
      <c r="B5" s="791" t="s">
        <v>14</v>
      </c>
      <c r="C5" s="791" t="s">
        <v>19</v>
      </c>
      <c r="D5" s="791" t="s">
        <v>1</v>
      </c>
      <c r="E5" s="791" t="s">
        <v>15</v>
      </c>
      <c r="F5" s="791" t="s">
        <v>9</v>
      </c>
      <c r="G5" s="791"/>
      <c r="H5" s="791"/>
      <c r="I5" s="791" t="s">
        <v>7</v>
      </c>
      <c r="J5" s="791" t="s">
        <v>6</v>
      </c>
      <c r="K5" s="833" t="s">
        <v>16</v>
      </c>
      <c r="L5" s="791" t="s">
        <v>2</v>
      </c>
      <c r="M5" s="791"/>
      <c r="N5" s="791" t="s">
        <v>5</v>
      </c>
      <c r="O5" s="791" t="s">
        <v>13</v>
      </c>
      <c r="P5" s="791" t="s">
        <v>8</v>
      </c>
    </row>
    <row r="6" spans="1:16" ht="47.45" customHeight="1">
      <c r="A6" s="791"/>
      <c r="B6" s="791"/>
      <c r="C6" s="791"/>
      <c r="D6" s="791"/>
      <c r="E6" s="791"/>
      <c r="F6" s="146" t="s">
        <v>10</v>
      </c>
      <c r="G6" s="146" t="s">
        <v>11</v>
      </c>
      <c r="H6" s="146" t="s">
        <v>12</v>
      </c>
      <c r="I6" s="791"/>
      <c r="J6" s="791"/>
      <c r="K6" s="833"/>
      <c r="L6" s="146" t="s">
        <v>3</v>
      </c>
      <c r="M6" s="643" t="s">
        <v>4</v>
      </c>
      <c r="N6" s="791"/>
      <c r="O6" s="791"/>
      <c r="P6" s="791"/>
    </row>
    <row r="7" spans="1:16" s="5" customFormat="1" ht="54">
      <c r="A7" s="179">
        <v>1</v>
      </c>
      <c r="B7" s="354" t="s">
        <v>75</v>
      </c>
      <c r="C7" s="354" t="s">
        <v>184</v>
      </c>
      <c r="D7" s="573" t="s">
        <v>320</v>
      </c>
      <c r="E7" s="573" t="s">
        <v>1617</v>
      </c>
      <c r="F7" s="184">
        <f>[2]لوگر!$H$15</f>
        <v>256966.66666666666</v>
      </c>
      <c r="G7" s="82" t="s">
        <v>23</v>
      </c>
      <c r="H7" s="579" t="s">
        <v>77</v>
      </c>
      <c r="I7" s="82">
        <v>1399</v>
      </c>
      <c r="J7" s="579" t="s">
        <v>25</v>
      </c>
      <c r="K7" s="267">
        <v>1</v>
      </c>
      <c r="L7" s="179"/>
      <c r="M7" s="6" t="s">
        <v>33</v>
      </c>
      <c r="N7" s="232"/>
      <c r="O7" s="232"/>
      <c r="P7" s="179"/>
    </row>
    <row r="8" spans="1:16" s="26" customFormat="1" ht="53.45" customHeight="1">
      <c r="A8" s="19">
        <v>2</v>
      </c>
      <c r="B8" s="83" t="s">
        <v>75</v>
      </c>
      <c r="C8" s="83"/>
      <c r="D8" s="57" t="s">
        <v>21</v>
      </c>
      <c r="E8" s="57" t="s">
        <v>117</v>
      </c>
      <c r="F8" s="184">
        <v>1280000</v>
      </c>
      <c r="G8" s="82" t="s">
        <v>23</v>
      </c>
      <c r="H8" s="65" t="s">
        <v>77</v>
      </c>
      <c r="I8" s="82">
        <v>1399</v>
      </c>
      <c r="J8" s="65" t="s">
        <v>25</v>
      </c>
      <c r="K8" s="267">
        <v>1</v>
      </c>
      <c r="L8" s="82"/>
      <c r="M8" s="6" t="s">
        <v>33</v>
      </c>
      <c r="N8" s="65"/>
      <c r="O8" s="152"/>
      <c r="P8" s="58"/>
    </row>
    <row r="9" spans="1:16" s="26" customFormat="1" ht="70.150000000000006" customHeight="1">
      <c r="A9" s="179">
        <v>3</v>
      </c>
      <c r="B9" s="83" t="s">
        <v>75</v>
      </c>
      <c r="C9" s="83"/>
      <c r="D9" s="57" t="s">
        <v>21</v>
      </c>
      <c r="E9" s="57" t="s">
        <v>820</v>
      </c>
      <c r="F9" s="184">
        <v>58000</v>
      </c>
      <c r="G9" s="82" t="s">
        <v>23</v>
      </c>
      <c r="H9" s="65" t="s">
        <v>77</v>
      </c>
      <c r="I9" s="82">
        <v>1399</v>
      </c>
      <c r="J9" s="65" t="s">
        <v>25</v>
      </c>
      <c r="K9" s="267">
        <v>1</v>
      </c>
      <c r="L9" s="82"/>
      <c r="M9" s="6" t="s">
        <v>33</v>
      </c>
      <c r="N9" s="65"/>
      <c r="O9" s="152"/>
      <c r="P9" s="58"/>
    </row>
    <row r="10" spans="1:16" s="26" customFormat="1" ht="58.5" customHeight="1">
      <c r="A10" s="588">
        <v>4</v>
      </c>
      <c r="B10" s="83" t="s">
        <v>75</v>
      </c>
      <c r="C10" s="83"/>
      <c r="D10" s="57" t="s">
        <v>28</v>
      </c>
      <c r="E10" s="169" t="s">
        <v>207</v>
      </c>
      <c r="F10" s="184">
        <v>8400000</v>
      </c>
      <c r="G10" s="82" t="s">
        <v>23</v>
      </c>
      <c r="H10" s="65" t="s">
        <v>77</v>
      </c>
      <c r="I10" s="82">
        <v>1399</v>
      </c>
      <c r="J10" s="65" t="s">
        <v>25</v>
      </c>
      <c r="K10" s="267">
        <v>1</v>
      </c>
      <c r="L10" s="152"/>
      <c r="M10" s="6" t="s">
        <v>33</v>
      </c>
      <c r="N10" s="65"/>
      <c r="O10" s="152"/>
      <c r="P10" s="251" t="s">
        <v>17</v>
      </c>
    </row>
    <row r="11" spans="1:16" s="26" customFormat="1" ht="114" customHeight="1">
      <c r="A11" s="179">
        <v>5</v>
      </c>
      <c r="B11" s="83" t="s">
        <v>75</v>
      </c>
      <c r="C11" s="83"/>
      <c r="D11" s="57" t="s">
        <v>28</v>
      </c>
      <c r="E11" s="57" t="s">
        <v>617</v>
      </c>
      <c r="F11" s="184">
        <v>157500</v>
      </c>
      <c r="G11" s="82" t="s">
        <v>23</v>
      </c>
      <c r="H11" s="65" t="s">
        <v>77</v>
      </c>
      <c r="I11" s="82">
        <v>1399</v>
      </c>
      <c r="J11" s="65" t="s">
        <v>25</v>
      </c>
      <c r="K11" s="267">
        <v>1</v>
      </c>
      <c r="L11" s="245"/>
      <c r="M11" s="6" t="s">
        <v>33</v>
      </c>
      <c r="N11" s="229"/>
      <c r="O11" s="152"/>
      <c r="P11" s="57"/>
    </row>
    <row r="12" spans="1:16" s="26" customFormat="1" ht="109.9" customHeight="1">
      <c r="A12" s="588">
        <v>6</v>
      </c>
      <c r="B12" s="83" t="s">
        <v>75</v>
      </c>
      <c r="C12" s="83"/>
      <c r="D12" s="57" t="s">
        <v>28</v>
      </c>
      <c r="E12" s="169" t="s">
        <v>99</v>
      </c>
      <c r="F12" s="184">
        <v>41500</v>
      </c>
      <c r="G12" s="82" t="s">
        <v>23</v>
      </c>
      <c r="H12" s="65" t="s">
        <v>77</v>
      </c>
      <c r="I12" s="82">
        <v>1399</v>
      </c>
      <c r="J12" s="65" t="s">
        <v>25</v>
      </c>
      <c r="K12" s="267">
        <v>1</v>
      </c>
      <c r="L12" s="245"/>
      <c r="M12" s="6" t="s">
        <v>33</v>
      </c>
      <c r="N12" s="229"/>
      <c r="O12" s="152"/>
      <c r="P12" s="57"/>
    </row>
    <row r="13" spans="1:16" s="26" customFormat="1" ht="55.15" customHeight="1">
      <c r="A13" s="179">
        <v>7</v>
      </c>
      <c r="B13" s="83" t="s">
        <v>75</v>
      </c>
      <c r="C13" s="83"/>
      <c r="D13" s="57" t="s">
        <v>31</v>
      </c>
      <c r="E13" s="57" t="s">
        <v>80</v>
      </c>
      <c r="F13" s="184">
        <v>226500</v>
      </c>
      <c r="G13" s="82" t="s">
        <v>23</v>
      </c>
      <c r="H13" s="65" t="s">
        <v>77</v>
      </c>
      <c r="I13" s="82">
        <v>1399</v>
      </c>
      <c r="J13" s="65" t="s">
        <v>25</v>
      </c>
      <c r="K13" s="267">
        <v>1</v>
      </c>
      <c r="L13" s="218"/>
      <c r="M13" s="6" t="s">
        <v>33</v>
      </c>
      <c r="N13" s="229"/>
      <c r="O13" s="152"/>
      <c r="P13" s="58"/>
    </row>
    <row r="14" spans="1:16" s="26" customFormat="1" ht="51" customHeight="1">
      <c r="A14" s="588">
        <v>8</v>
      </c>
      <c r="B14" s="83" t="s">
        <v>75</v>
      </c>
      <c r="C14" s="83"/>
      <c r="D14" s="57" t="s">
        <v>31</v>
      </c>
      <c r="E14" s="57" t="s">
        <v>34</v>
      </c>
      <c r="F14" s="184">
        <v>204540</v>
      </c>
      <c r="G14" s="82" t="s">
        <v>23</v>
      </c>
      <c r="H14" s="65" t="s">
        <v>77</v>
      </c>
      <c r="I14" s="82">
        <v>1399</v>
      </c>
      <c r="J14" s="65" t="s">
        <v>25</v>
      </c>
      <c r="K14" s="267">
        <v>1</v>
      </c>
      <c r="L14" s="218"/>
      <c r="M14" s="6" t="s">
        <v>33</v>
      </c>
      <c r="N14" s="229"/>
      <c r="O14" s="152"/>
      <c r="P14" s="58"/>
    </row>
    <row r="15" spans="1:16" s="26" customFormat="1" ht="55.15" customHeight="1">
      <c r="A15" s="179">
        <v>9</v>
      </c>
      <c r="B15" s="83" t="s">
        <v>75</v>
      </c>
      <c r="C15" s="83"/>
      <c r="D15" s="57" t="s">
        <v>31</v>
      </c>
      <c r="E15" s="57" t="s">
        <v>32</v>
      </c>
      <c r="F15" s="184">
        <v>144760</v>
      </c>
      <c r="G15" s="82" t="s">
        <v>23</v>
      </c>
      <c r="H15" s="65" t="s">
        <v>77</v>
      </c>
      <c r="I15" s="82">
        <v>1399</v>
      </c>
      <c r="J15" s="65" t="s">
        <v>25</v>
      </c>
      <c r="K15" s="267">
        <v>1</v>
      </c>
      <c r="L15" s="218"/>
      <c r="M15" s="6" t="s">
        <v>33</v>
      </c>
      <c r="N15" s="229"/>
      <c r="O15" s="152"/>
      <c r="P15" s="58"/>
    </row>
    <row r="16" spans="1:16" s="26" customFormat="1" ht="63" customHeight="1">
      <c r="A16" s="588">
        <v>10</v>
      </c>
      <c r="B16" s="83" t="s">
        <v>75</v>
      </c>
      <c r="C16" s="83" t="s">
        <v>184</v>
      </c>
      <c r="D16" s="57" t="s">
        <v>31</v>
      </c>
      <c r="E16" s="169" t="s">
        <v>819</v>
      </c>
      <c r="F16" s="195">
        <f>4*58333</f>
        <v>233332</v>
      </c>
      <c r="G16" s="83" t="s">
        <v>23</v>
      </c>
      <c r="H16" s="6" t="s">
        <v>77</v>
      </c>
      <c r="I16" s="83">
        <v>1399</v>
      </c>
      <c r="J16" s="6" t="s">
        <v>25</v>
      </c>
      <c r="K16" s="267">
        <v>1</v>
      </c>
      <c r="L16" s="206"/>
      <c r="M16" s="6" t="s">
        <v>33</v>
      </c>
      <c r="N16" s="229"/>
      <c r="O16" s="152"/>
      <c r="P16" s="58"/>
    </row>
    <row r="17" spans="1:16" s="26" customFormat="1" ht="57" customHeight="1">
      <c r="A17" s="179">
        <v>11</v>
      </c>
      <c r="B17" s="83" t="s">
        <v>75</v>
      </c>
      <c r="C17" s="83"/>
      <c r="D17" s="57" t="s">
        <v>31</v>
      </c>
      <c r="E17" s="57" t="s">
        <v>38</v>
      </c>
      <c r="F17" s="184">
        <v>69800</v>
      </c>
      <c r="G17" s="82" t="s">
        <v>23</v>
      </c>
      <c r="H17" s="65" t="s">
        <v>77</v>
      </c>
      <c r="I17" s="82">
        <v>1399</v>
      </c>
      <c r="J17" s="65" t="s">
        <v>25</v>
      </c>
      <c r="K17" s="267">
        <v>1</v>
      </c>
      <c r="L17" s="247"/>
      <c r="M17" s="6" t="s">
        <v>33</v>
      </c>
      <c r="N17" s="229"/>
      <c r="O17" s="152"/>
      <c r="P17" s="58"/>
    </row>
    <row r="18" spans="1:16" s="26" customFormat="1" ht="81.599999999999994" customHeight="1">
      <c r="A18" s="588">
        <v>12</v>
      </c>
      <c r="B18" s="83" t="s">
        <v>75</v>
      </c>
      <c r="C18" s="83"/>
      <c r="D18" s="57" t="s">
        <v>31</v>
      </c>
      <c r="E18" s="57" t="s">
        <v>483</v>
      </c>
      <c r="F18" s="184">
        <v>282000</v>
      </c>
      <c r="G18" s="82" t="s">
        <v>23</v>
      </c>
      <c r="H18" s="65" t="s">
        <v>77</v>
      </c>
      <c r="I18" s="82">
        <v>1399</v>
      </c>
      <c r="J18" s="65" t="s">
        <v>25</v>
      </c>
      <c r="K18" s="267">
        <v>1</v>
      </c>
      <c r="L18" s="260"/>
      <c r="M18" s="6" t="s">
        <v>33</v>
      </c>
      <c r="N18" s="229"/>
      <c r="O18" s="152"/>
      <c r="P18" s="58"/>
    </row>
    <row r="19" spans="1:16" s="34" customFormat="1" ht="50.45" customHeight="1">
      <c r="A19" s="179">
        <v>13</v>
      </c>
      <c r="B19" s="83" t="s">
        <v>75</v>
      </c>
      <c r="C19" s="83"/>
      <c r="D19" s="57" t="s">
        <v>40</v>
      </c>
      <c r="E19" s="169" t="s">
        <v>446</v>
      </c>
      <c r="F19" s="184">
        <f>3*1413600</f>
        <v>4240800</v>
      </c>
      <c r="G19" s="82" t="s">
        <v>23</v>
      </c>
      <c r="H19" s="65" t="s">
        <v>41</v>
      </c>
      <c r="I19" s="82">
        <v>1399</v>
      </c>
      <c r="J19" s="65" t="s">
        <v>25</v>
      </c>
      <c r="K19" s="267">
        <v>1</v>
      </c>
      <c r="L19" s="245"/>
      <c r="M19" s="6" t="s">
        <v>33</v>
      </c>
      <c r="N19" s="229"/>
      <c r="O19" s="192"/>
      <c r="P19" s="842"/>
    </row>
    <row r="20" spans="1:16" s="34" customFormat="1" ht="57" customHeight="1">
      <c r="A20" s="588">
        <v>14</v>
      </c>
      <c r="B20" s="83" t="s">
        <v>75</v>
      </c>
      <c r="C20" s="83"/>
      <c r="D20" s="57" t="s">
        <v>40</v>
      </c>
      <c r="E20" s="169" t="s">
        <v>818</v>
      </c>
      <c r="F20" s="184">
        <f>170* 58032</f>
        <v>9865440</v>
      </c>
      <c r="G20" s="82" t="s">
        <v>23</v>
      </c>
      <c r="H20" s="65" t="s">
        <v>41</v>
      </c>
      <c r="I20" s="82">
        <v>1399</v>
      </c>
      <c r="J20" s="65" t="s">
        <v>25</v>
      </c>
      <c r="K20" s="267">
        <v>1</v>
      </c>
      <c r="L20" s="245"/>
      <c r="M20" s="6" t="s">
        <v>33</v>
      </c>
      <c r="N20" s="229"/>
      <c r="O20" s="152"/>
      <c r="P20" s="842"/>
    </row>
    <row r="21" spans="1:16" s="34" customFormat="1" ht="54.6" customHeight="1">
      <c r="A21" s="179">
        <v>15</v>
      </c>
      <c r="B21" s="83" t="s">
        <v>75</v>
      </c>
      <c r="C21" s="83"/>
      <c r="D21" s="57" t="s">
        <v>40</v>
      </c>
      <c r="E21" s="169" t="s">
        <v>697</v>
      </c>
      <c r="F21" s="184" t="s">
        <v>17</v>
      </c>
      <c r="G21" s="82" t="s">
        <v>955</v>
      </c>
      <c r="H21" s="65" t="s">
        <v>17</v>
      </c>
      <c r="I21" s="82">
        <v>1399</v>
      </c>
      <c r="J21" s="65" t="s">
        <v>25</v>
      </c>
      <c r="K21" s="267">
        <v>1</v>
      </c>
      <c r="L21" s="245"/>
      <c r="M21" s="6" t="s">
        <v>33</v>
      </c>
      <c r="N21" s="229"/>
      <c r="O21" s="193"/>
      <c r="P21" s="57" t="s">
        <v>324</v>
      </c>
    </row>
    <row r="22" spans="1:16" s="34" customFormat="1" ht="54">
      <c r="A22" s="588">
        <v>16</v>
      </c>
      <c r="B22" s="83" t="s">
        <v>75</v>
      </c>
      <c r="C22" s="83"/>
      <c r="D22" s="57" t="s">
        <v>40</v>
      </c>
      <c r="E22" s="169" t="s">
        <v>197</v>
      </c>
      <c r="F22" s="184">
        <f>4* 848904</f>
        <v>3395616</v>
      </c>
      <c r="G22" s="82" t="s">
        <v>23</v>
      </c>
      <c r="H22" s="65" t="s">
        <v>41</v>
      </c>
      <c r="I22" s="82">
        <v>1399</v>
      </c>
      <c r="J22" s="65" t="s">
        <v>25</v>
      </c>
      <c r="K22" s="267">
        <v>1</v>
      </c>
      <c r="L22" s="245"/>
      <c r="M22" s="6" t="s">
        <v>33</v>
      </c>
      <c r="N22" s="229"/>
      <c r="O22" s="192"/>
      <c r="P22" s="57"/>
    </row>
    <row r="23" spans="1:16" s="34" customFormat="1" ht="88.9" customHeight="1">
      <c r="A23" s="179">
        <v>17</v>
      </c>
      <c r="B23" s="83" t="s">
        <v>75</v>
      </c>
      <c r="C23" s="83"/>
      <c r="D23" s="57" t="s">
        <v>40</v>
      </c>
      <c r="E23" s="169" t="s">
        <v>151</v>
      </c>
      <c r="F23" s="184">
        <f>2*  304452</f>
        <v>608904</v>
      </c>
      <c r="G23" s="82" t="s">
        <v>23</v>
      </c>
      <c r="H23" s="65" t="s">
        <v>41</v>
      </c>
      <c r="I23" s="82">
        <v>1399</v>
      </c>
      <c r="J23" s="65" t="s">
        <v>25</v>
      </c>
      <c r="K23" s="267">
        <v>1</v>
      </c>
      <c r="L23" s="182" t="s">
        <v>1840</v>
      </c>
      <c r="M23" s="6" t="s">
        <v>33</v>
      </c>
      <c r="N23" s="452" t="s">
        <v>325</v>
      </c>
      <c r="O23" s="22" t="s">
        <v>960</v>
      </c>
      <c r="P23" s="842"/>
    </row>
    <row r="24" spans="1:16" s="34" customFormat="1" ht="54">
      <c r="A24" s="588">
        <v>18</v>
      </c>
      <c r="B24" s="83" t="s">
        <v>75</v>
      </c>
      <c r="C24" s="83"/>
      <c r="D24" s="57" t="s">
        <v>40</v>
      </c>
      <c r="E24" s="169" t="s">
        <v>817</v>
      </c>
      <c r="F24" s="184">
        <f>1305* 148</f>
        <v>193140</v>
      </c>
      <c r="G24" s="82" t="s">
        <v>23</v>
      </c>
      <c r="H24" s="65" t="s">
        <v>41</v>
      </c>
      <c r="I24" s="82">
        <v>1399</v>
      </c>
      <c r="J24" s="65" t="s">
        <v>25</v>
      </c>
      <c r="K24" s="267">
        <v>1</v>
      </c>
      <c r="L24" s="245"/>
      <c r="M24" s="6" t="s">
        <v>33</v>
      </c>
      <c r="N24" s="229"/>
      <c r="O24" s="152"/>
      <c r="P24" s="842"/>
    </row>
    <row r="25" spans="1:16" s="34" customFormat="1" ht="81.599999999999994" customHeight="1">
      <c r="A25" s="179">
        <v>19</v>
      </c>
      <c r="B25" s="83" t="s">
        <v>75</v>
      </c>
      <c r="C25" s="83"/>
      <c r="D25" s="57" t="s">
        <v>40</v>
      </c>
      <c r="E25" s="169" t="s">
        <v>86</v>
      </c>
      <c r="F25" s="184">
        <f>2* 375000</f>
        <v>750000</v>
      </c>
      <c r="G25" s="82" t="s">
        <v>23</v>
      </c>
      <c r="H25" s="65" t="s">
        <v>41</v>
      </c>
      <c r="I25" s="82">
        <v>1399</v>
      </c>
      <c r="J25" s="65" t="s">
        <v>25</v>
      </c>
      <c r="K25" s="267">
        <v>1</v>
      </c>
      <c r="L25" s="182" t="s">
        <v>1840</v>
      </c>
      <c r="M25" s="6" t="s">
        <v>33</v>
      </c>
      <c r="N25" s="452" t="s">
        <v>325</v>
      </c>
      <c r="O25" s="22" t="s">
        <v>960</v>
      </c>
      <c r="P25" s="58"/>
    </row>
    <row r="26" spans="1:16" s="34" customFormat="1" ht="44.45" customHeight="1">
      <c r="A26" s="588">
        <v>20</v>
      </c>
      <c r="B26" s="83" t="s">
        <v>75</v>
      </c>
      <c r="C26" s="83"/>
      <c r="D26" s="57" t="s">
        <v>40</v>
      </c>
      <c r="E26" s="169" t="s">
        <v>816</v>
      </c>
      <c r="F26" s="184">
        <f>29*22320</f>
        <v>647280</v>
      </c>
      <c r="G26" s="82" t="s">
        <v>23</v>
      </c>
      <c r="H26" s="65" t="s">
        <v>41</v>
      </c>
      <c r="I26" s="82">
        <v>1399</v>
      </c>
      <c r="J26" s="65" t="s">
        <v>25</v>
      </c>
      <c r="K26" s="267">
        <v>1</v>
      </c>
      <c r="L26" s="245"/>
      <c r="M26" s="6" t="s">
        <v>33</v>
      </c>
      <c r="N26" s="229"/>
      <c r="O26" s="152"/>
      <c r="P26" s="842"/>
    </row>
    <row r="27" spans="1:16" s="34" customFormat="1" ht="47.45" customHeight="1">
      <c r="A27" s="179">
        <v>21</v>
      </c>
      <c r="B27" s="83" t="s">
        <v>75</v>
      </c>
      <c r="C27" s="83"/>
      <c r="D27" s="57" t="s">
        <v>40</v>
      </c>
      <c r="E27" s="169" t="s">
        <v>533</v>
      </c>
      <c r="F27" s="184">
        <f>10* 3645</f>
        <v>36450</v>
      </c>
      <c r="G27" s="82" t="s">
        <v>23</v>
      </c>
      <c r="H27" s="65" t="s">
        <v>41</v>
      </c>
      <c r="I27" s="82">
        <v>1399</v>
      </c>
      <c r="J27" s="65" t="s">
        <v>25</v>
      </c>
      <c r="K27" s="267">
        <v>1</v>
      </c>
      <c r="L27" s="245"/>
      <c r="M27" s="6" t="s">
        <v>33</v>
      </c>
      <c r="N27" s="229"/>
      <c r="O27" s="152"/>
      <c r="P27" s="842"/>
    </row>
    <row r="28" spans="1:16" s="34" customFormat="1" ht="40.9" customHeight="1">
      <c r="A28" s="588">
        <v>22</v>
      </c>
      <c r="B28" s="83" t="s">
        <v>75</v>
      </c>
      <c r="C28" s="83"/>
      <c r="D28" s="57" t="s">
        <v>40</v>
      </c>
      <c r="E28" s="169" t="s">
        <v>211</v>
      </c>
      <c r="F28" s="184">
        <v>44640</v>
      </c>
      <c r="G28" s="82" t="s">
        <v>23</v>
      </c>
      <c r="H28" s="65" t="s">
        <v>41</v>
      </c>
      <c r="I28" s="82">
        <v>1399</v>
      </c>
      <c r="J28" s="65" t="s">
        <v>25</v>
      </c>
      <c r="K28" s="267">
        <v>1</v>
      </c>
      <c r="L28" s="245"/>
      <c r="M28" s="6" t="s">
        <v>33</v>
      </c>
      <c r="N28" s="229"/>
      <c r="O28" s="152"/>
      <c r="P28" s="842"/>
    </row>
    <row r="29" spans="1:16" s="34" customFormat="1" ht="90">
      <c r="A29" s="179">
        <v>23</v>
      </c>
      <c r="B29" s="83" t="s">
        <v>75</v>
      </c>
      <c r="C29" s="83"/>
      <c r="D29" s="57" t="s">
        <v>40</v>
      </c>
      <c r="E29" s="169" t="s">
        <v>89</v>
      </c>
      <c r="F29" s="184">
        <f>10*52471</f>
        <v>524710</v>
      </c>
      <c r="G29" s="82" t="s">
        <v>23</v>
      </c>
      <c r="H29" s="65" t="s">
        <v>41</v>
      </c>
      <c r="I29" s="82">
        <v>1399</v>
      </c>
      <c r="J29" s="65" t="s">
        <v>25</v>
      </c>
      <c r="K29" s="267">
        <v>1</v>
      </c>
      <c r="L29" s="182" t="s">
        <v>1840</v>
      </c>
      <c r="M29" s="6" t="s">
        <v>33</v>
      </c>
      <c r="N29" s="648" t="s">
        <v>325</v>
      </c>
      <c r="O29" s="22" t="s">
        <v>960</v>
      </c>
      <c r="P29" s="842"/>
    </row>
    <row r="30" spans="1:16" s="34" customFormat="1" ht="69" customHeight="1">
      <c r="A30" s="588">
        <v>24</v>
      </c>
      <c r="B30" s="83" t="s">
        <v>75</v>
      </c>
      <c r="C30" s="83"/>
      <c r="D30" s="57" t="s">
        <v>40</v>
      </c>
      <c r="E30" s="169" t="s">
        <v>137</v>
      </c>
      <c r="F30" s="184">
        <f>100*1518</f>
        <v>151800</v>
      </c>
      <c r="G30" s="82" t="s">
        <v>23</v>
      </c>
      <c r="H30" s="65" t="s">
        <v>41</v>
      </c>
      <c r="I30" s="82">
        <v>1399</v>
      </c>
      <c r="J30" s="65" t="s">
        <v>25</v>
      </c>
      <c r="K30" s="267">
        <v>1</v>
      </c>
      <c r="L30" s="245"/>
      <c r="M30" s="6" t="s">
        <v>33</v>
      </c>
      <c r="N30" s="229"/>
      <c r="O30" s="152"/>
      <c r="P30" s="58"/>
    </row>
    <row r="31" spans="1:16" s="34" customFormat="1" ht="48" customHeight="1">
      <c r="A31" s="179">
        <v>25</v>
      </c>
      <c r="B31" s="83" t="s">
        <v>75</v>
      </c>
      <c r="C31" s="83"/>
      <c r="D31" s="57" t="s">
        <v>40</v>
      </c>
      <c r="E31" s="169" t="s">
        <v>48</v>
      </c>
      <c r="F31" s="184">
        <f>2* 42514</f>
        <v>85028</v>
      </c>
      <c r="G31" s="82" t="s">
        <v>23</v>
      </c>
      <c r="H31" s="65" t="s">
        <v>41</v>
      </c>
      <c r="I31" s="82">
        <v>1399</v>
      </c>
      <c r="J31" s="65" t="s">
        <v>25</v>
      </c>
      <c r="K31" s="267">
        <v>1</v>
      </c>
      <c r="L31" s="245"/>
      <c r="M31" s="6" t="s">
        <v>33</v>
      </c>
      <c r="N31" s="229"/>
      <c r="O31" s="152"/>
      <c r="P31" s="842"/>
    </row>
    <row r="32" spans="1:16" s="34" customFormat="1" ht="65.25" customHeight="1">
      <c r="A32" s="588">
        <v>26</v>
      </c>
      <c r="B32" s="83" t="s">
        <v>75</v>
      </c>
      <c r="C32" s="83"/>
      <c r="D32" s="57" t="s">
        <v>40</v>
      </c>
      <c r="E32" s="57" t="s">
        <v>91</v>
      </c>
      <c r="F32" s="184">
        <f>100*1041</f>
        <v>104100</v>
      </c>
      <c r="G32" s="82" t="s">
        <v>23</v>
      </c>
      <c r="H32" s="65" t="s">
        <v>41</v>
      </c>
      <c r="I32" s="82">
        <v>1399</v>
      </c>
      <c r="J32" s="65" t="s">
        <v>25</v>
      </c>
      <c r="K32" s="267">
        <v>1</v>
      </c>
      <c r="L32" s="245"/>
      <c r="M32" s="6" t="s">
        <v>33</v>
      </c>
      <c r="N32" s="229"/>
      <c r="O32" s="152"/>
      <c r="P32" s="842"/>
    </row>
    <row r="33" spans="1:16" s="34" customFormat="1" ht="75.75" customHeight="1">
      <c r="A33" s="179">
        <v>27</v>
      </c>
      <c r="B33" s="83" t="s">
        <v>75</v>
      </c>
      <c r="C33" s="83"/>
      <c r="D33" s="448" t="s">
        <v>40</v>
      </c>
      <c r="E33" s="164" t="s">
        <v>966</v>
      </c>
      <c r="F33" s="184">
        <f>250*2617</f>
        <v>654250</v>
      </c>
      <c r="G33" s="446" t="s">
        <v>23</v>
      </c>
      <c r="H33" s="453" t="s">
        <v>41</v>
      </c>
      <c r="I33" s="446">
        <v>1399</v>
      </c>
      <c r="J33" s="446" t="s">
        <v>852</v>
      </c>
      <c r="K33" s="267">
        <v>1</v>
      </c>
      <c r="L33" s="448"/>
      <c r="M33" s="6" t="s">
        <v>33</v>
      </c>
      <c r="N33" s="229"/>
      <c r="O33" s="152"/>
      <c r="P33" s="842"/>
    </row>
    <row r="34" spans="1:16" s="34" customFormat="1" ht="72" customHeight="1">
      <c r="A34" s="588">
        <v>28</v>
      </c>
      <c r="B34" s="83" t="s">
        <v>75</v>
      </c>
      <c r="C34" s="83"/>
      <c r="D34" s="57" t="s">
        <v>40</v>
      </c>
      <c r="E34" s="57" t="s">
        <v>93</v>
      </c>
      <c r="F34" s="184">
        <f>100*911</f>
        <v>91100</v>
      </c>
      <c r="G34" s="82" t="s">
        <v>23</v>
      </c>
      <c r="H34" s="65" t="s">
        <v>41</v>
      </c>
      <c r="I34" s="82">
        <v>1399</v>
      </c>
      <c r="J34" s="65" t="s">
        <v>25</v>
      </c>
      <c r="K34" s="267">
        <v>1</v>
      </c>
      <c r="L34" s="182" t="s">
        <v>1840</v>
      </c>
      <c r="M34" s="6" t="s">
        <v>33</v>
      </c>
      <c r="N34" s="454" t="s">
        <v>325</v>
      </c>
      <c r="O34" s="22" t="s">
        <v>960</v>
      </c>
      <c r="P34" s="842"/>
    </row>
    <row r="35" spans="1:16" s="34" customFormat="1" ht="54">
      <c r="A35" s="179">
        <v>29</v>
      </c>
      <c r="B35" s="83" t="s">
        <v>75</v>
      </c>
      <c r="C35" s="83"/>
      <c r="D35" s="57" t="s">
        <v>40</v>
      </c>
      <c r="E35" s="169" t="s">
        <v>243</v>
      </c>
      <c r="F35" s="184">
        <f>600* 315</f>
        <v>189000</v>
      </c>
      <c r="G35" s="82" t="s">
        <v>23</v>
      </c>
      <c r="H35" s="65" t="s">
        <v>41</v>
      </c>
      <c r="I35" s="82">
        <v>1399</v>
      </c>
      <c r="J35" s="65" t="s">
        <v>25</v>
      </c>
      <c r="K35" s="267">
        <v>1</v>
      </c>
      <c r="L35" s="245"/>
      <c r="M35" s="6" t="s">
        <v>33</v>
      </c>
      <c r="N35" s="229"/>
      <c r="O35" s="152"/>
      <c r="P35" s="842"/>
    </row>
    <row r="36" spans="1:16" s="34" customFormat="1" ht="54">
      <c r="A36" s="588">
        <v>30</v>
      </c>
      <c r="B36" s="83" t="s">
        <v>75</v>
      </c>
      <c r="C36" s="83"/>
      <c r="D36" s="57" t="s">
        <v>40</v>
      </c>
      <c r="E36" s="169" t="s">
        <v>94</v>
      </c>
      <c r="F36" s="184">
        <f>2* 45570</f>
        <v>91140</v>
      </c>
      <c r="G36" s="82" t="s">
        <v>23</v>
      </c>
      <c r="H36" s="65" t="s">
        <v>41</v>
      </c>
      <c r="I36" s="82">
        <v>1399</v>
      </c>
      <c r="J36" s="65" t="s">
        <v>25</v>
      </c>
      <c r="K36" s="267">
        <v>1</v>
      </c>
      <c r="L36" s="245"/>
      <c r="M36" s="6" t="s">
        <v>33</v>
      </c>
      <c r="N36" s="229"/>
      <c r="O36" s="152"/>
      <c r="P36" s="58"/>
    </row>
    <row r="37" spans="1:16" s="34" customFormat="1" ht="90">
      <c r="A37" s="179">
        <v>31</v>
      </c>
      <c r="B37" s="83" t="s">
        <v>75</v>
      </c>
      <c r="C37" s="83"/>
      <c r="D37" s="57" t="s">
        <v>40</v>
      </c>
      <c r="E37" s="169" t="s">
        <v>815</v>
      </c>
      <c r="F37" s="184">
        <f>20* 10416</f>
        <v>208320</v>
      </c>
      <c r="G37" s="82" t="s">
        <v>23</v>
      </c>
      <c r="H37" s="65" t="s">
        <v>41</v>
      </c>
      <c r="I37" s="82">
        <v>1399</v>
      </c>
      <c r="J37" s="65" t="s">
        <v>25</v>
      </c>
      <c r="K37" s="267">
        <v>1</v>
      </c>
      <c r="L37" s="182" t="s">
        <v>1840</v>
      </c>
      <c r="M37" s="6" t="s">
        <v>33</v>
      </c>
      <c r="N37" s="452" t="s">
        <v>325</v>
      </c>
      <c r="O37" s="22" t="s">
        <v>960</v>
      </c>
      <c r="P37" s="842"/>
    </row>
    <row r="38" spans="1:16" s="34" customFormat="1" ht="90">
      <c r="A38" s="588">
        <v>32</v>
      </c>
      <c r="B38" s="83" t="s">
        <v>75</v>
      </c>
      <c r="C38" s="83"/>
      <c r="D38" s="57" t="s">
        <v>40</v>
      </c>
      <c r="E38" s="169" t="s">
        <v>104</v>
      </c>
      <c r="F38" s="184">
        <f>10*36456</f>
        <v>364560</v>
      </c>
      <c r="G38" s="82" t="s">
        <v>23</v>
      </c>
      <c r="H38" s="65" t="s">
        <v>41</v>
      </c>
      <c r="I38" s="82">
        <v>1399</v>
      </c>
      <c r="J38" s="65" t="s">
        <v>25</v>
      </c>
      <c r="K38" s="267">
        <v>1</v>
      </c>
      <c r="L38" s="182" t="s">
        <v>1840</v>
      </c>
      <c r="M38" s="6" t="s">
        <v>33</v>
      </c>
      <c r="N38" s="648" t="s">
        <v>325</v>
      </c>
      <c r="O38" s="22" t="s">
        <v>960</v>
      </c>
      <c r="P38" s="842"/>
    </row>
    <row r="39" spans="1:16" s="34" customFormat="1" ht="90">
      <c r="A39" s="179">
        <v>33</v>
      </c>
      <c r="B39" s="83" t="s">
        <v>75</v>
      </c>
      <c r="C39" s="83"/>
      <c r="D39" s="57" t="s">
        <v>40</v>
      </c>
      <c r="E39" s="169" t="s">
        <v>126</v>
      </c>
      <c r="F39" s="184">
        <v>396797</v>
      </c>
      <c r="G39" s="82" t="s">
        <v>23</v>
      </c>
      <c r="H39" s="65" t="s">
        <v>41</v>
      </c>
      <c r="I39" s="82">
        <v>1399</v>
      </c>
      <c r="J39" s="65" t="s">
        <v>25</v>
      </c>
      <c r="K39" s="246" t="s">
        <v>17</v>
      </c>
      <c r="L39" s="245" t="s">
        <v>135</v>
      </c>
      <c r="M39" s="6" t="s">
        <v>17</v>
      </c>
      <c r="N39" s="452" t="s">
        <v>325</v>
      </c>
      <c r="O39" s="22" t="s">
        <v>960</v>
      </c>
      <c r="P39" s="58"/>
    </row>
    <row r="40" spans="1:16" s="34" customFormat="1" ht="119.25" customHeight="1">
      <c r="A40" s="588">
        <v>34</v>
      </c>
      <c r="B40" s="83" t="s">
        <v>75</v>
      </c>
      <c r="C40" s="83"/>
      <c r="D40" s="57" t="s">
        <v>40</v>
      </c>
      <c r="E40" s="169" t="s">
        <v>53</v>
      </c>
      <c r="F40" s="184">
        <f>2*2695000</f>
        <v>5390000</v>
      </c>
      <c r="G40" s="82" t="s">
        <v>23</v>
      </c>
      <c r="H40" s="65" t="s">
        <v>41</v>
      </c>
      <c r="I40" s="82">
        <v>1399</v>
      </c>
      <c r="J40" s="65" t="s">
        <v>25</v>
      </c>
      <c r="K40" s="246">
        <v>1</v>
      </c>
      <c r="L40" s="182" t="s">
        <v>1840</v>
      </c>
      <c r="M40" s="6" t="s">
        <v>33</v>
      </c>
      <c r="N40" s="452" t="s">
        <v>325</v>
      </c>
      <c r="O40" s="22" t="s">
        <v>960</v>
      </c>
      <c r="P40" s="58"/>
    </row>
    <row r="41" spans="1:16" s="34" customFormat="1" ht="119.25" customHeight="1">
      <c r="A41" s="179">
        <v>35</v>
      </c>
      <c r="B41" s="83" t="s">
        <v>75</v>
      </c>
      <c r="C41" s="83"/>
      <c r="D41" s="57" t="s">
        <v>40</v>
      </c>
      <c r="E41" s="169" t="s">
        <v>660</v>
      </c>
      <c r="F41" s="184">
        <f>9* 66000</f>
        <v>594000</v>
      </c>
      <c r="G41" s="82" t="s">
        <v>23</v>
      </c>
      <c r="H41" s="65" t="s">
        <v>41</v>
      </c>
      <c r="I41" s="82">
        <v>1399</v>
      </c>
      <c r="J41" s="65" t="s">
        <v>25</v>
      </c>
      <c r="K41" s="246">
        <v>1</v>
      </c>
      <c r="L41" s="245"/>
      <c r="M41" s="6" t="s">
        <v>33</v>
      </c>
      <c r="N41" s="229"/>
      <c r="O41" s="152"/>
      <c r="P41" s="842"/>
    </row>
    <row r="42" spans="1:16" s="34" customFormat="1" ht="72">
      <c r="A42" s="588">
        <v>36</v>
      </c>
      <c r="B42" s="83" t="s">
        <v>75</v>
      </c>
      <c r="C42" s="83"/>
      <c r="D42" s="57" t="s">
        <v>40</v>
      </c>
      <c r="E42" s="169" t="s">
        <v>658</v>
      </c>
      <c r="F42" s="184">
        <f>18* 30000</f>
        <v>540000</v>
      </c>
      <c r="G42" s="82" t="s">
        <v>23</v>
      </c>
      <c r="H42" s="65" t="s">
        <v>41</v>
      </c>
      <c r="I42" s="82">
        <v>1399</v>
      </c>
      <c r="J42" s="65" t="s">
        <v>25</v>
      </c>
      <c r="K42" s="246">
        <v>1</v>
      </c>
      <c r="L42" s="245"/>
      <c r="M42" s="6" t="s">
        <v>33</v>
      </c>
      <c r="N42" s="229"/>
      <c r="O42" s="152"/>
      <c r="P42" s="842"/>
    </row>
    <row r="43" spans="1:16" s="34" customFormat="1" ht="89.45" customHeight="1">
      <c r="A43" s="179">
        <v>37</v>
      </c>
      <c r="B43" s="83" t="s">
        <v>75</v>
      </c>
      <c r="C43" s="83"/>
      <c r="D43" s="57" t="s">
        <v>40</v>
      </c>
      <c r="E43" s="169" t="s">
        <v>814</v>
      </c>
      <c r="F43" s="184">
        <f>1170* 900</f>
        <v>1053000</v>
      </c>
      <c r="G43" s="82" t="s">
        <v>23</v>
      </c>
      <c r="H43" s="65" t="s">
        <v>41</v>
      </c>
      <c r="I43" s="82">
        <v>1399</v>
      </c>
      <c r="J43" s="65" t="s">
        <v>25</v>
      </c>
      <c r="K43" s="246">
        <v>1</v>
      </c>
      <c r="L43" s="182" t="s">
        <v>1840</v>
      </c>
      <c r="M43" s="6" t="s">
        <v>33</v>
      </c>
      <c r="N43" s="452" t="s">
        <v>325</v>
      </c>
      <c r="O43" s="22" t="s">
        <v>960</v>
      </c>
      <c r="P43" s="842"/>
    </row>
    <row r="44" spans="1:16" ht="54">
      <c r="A44" s="588">
        <v>38</v>
      </c>
      <c r="B44" s="6" t="s">
        <v>75</v>
      </c>
      <c r="C44" s="83"/>
      <c r="D44" s="237" t="s">
        <v>76</v>
      </c>
      <c r="E44" s="231" t="s">
        <v>813</v>
      </c>
      <c r="F44" s="35">
        <v>74902679</v>
      </c>
      <c r="G44" s="19" t="s">
        <v>23</v>
      </c>
      <c r="H44" s="22" t="s">
        <v>77</v>
      </c>
      <c r="I44" s="19">
        <v>1399</v>
      </c>
      <c r="J44" s="22" t="s">
        <v>25</v>
      </c>
      <c r="K44" s="106">
        <v>1</v>
      </c>
      <c r="L44" s="33"/>
      <c r="M44" s="6" t="s">
        <v>33</v>
      </c>
      <c r="N44" s="33"/>
      <c r="O44" s="33"/>
      <c r="P44" s="33"/>
    </row>
    <row r="45" spans="1:16" s="34" customFormat="1" ht="47.25" customHeight="1">
      <c r="A45" s="179">
        <v>39</v>
      </c>
      <c r="B45" s="354" t="s">
        <v>75</v>
      </c>
      <c r="C45" s="354" t="s">
        <v>1137</v>
      </c>
      <c r="D45" s="456" t="s">
        <v>242</v>
      </c>
      <c r="E45" s="169" t="s">
        <v>1138</v>
      </c>
      <c r="F45" s="184">
        <v>60000</v>
      </c>
      <c r="G45" s="82" t="s">
        <v>23</v>
      </c>
      <c r="H45" s="468" t="s">
        <v>77</v>
      </c>
      <c r="I45" s="82">
        <v>1399</v>
      </c>
      <c r="J45" s="468" t="s">
        <v>25</v>
      </c>
      <c r="K45" s="246">
        <v>1</v>
      </c>
      <c r="L45" s="82"/>
      <c r="M45" s="6" t="s">
        <v>33</v>
      </c>
      <c r="N45" s="468"/>
      <c r="O45" s="468"/>
      <c r="P45" s="463"/>
    </row>
    <row r="46" spans="1:16" s="34" customFormat="1" ht="71.45" customHeight="1">
      <c r="A46" s="588">
        <v>40</v>
      </c>
      <c r="B46" s="354" t="s">
        <v>75</v>
      </c>
      <c r="C46" s="458" t="s">
        <v>1139</v>
      </c>
      <c r="D46" s="456" t="s">
        <v>111</v>
      </c>
      <c r="E46" s="169" t="s">
        <v>1140</v>
      </c>
      <c r="F46" s="184">
        <v>210000</v>
      </c>
      <c r="G46" s="82" t="s">
        <v>23</v>
      </c>
      <c r="H46" s="468" t="s">
        <v>77</v>
      </c>
      <c r="I46" s="82">
        <v>1399</v>
      </c>
      <c r="J46" s="468" t="s">
        <v>25</v>
      </c>
      <c r="K46" s="246">
        <v>1</v>
      </c>
      <c r="L46" s="82"/>
      <c r="M46" s="6" t="s">
        <v>33</v>
      </c>
      <c r="N46" s="468"/>
      <c r="O46" s="468"/>
      <c r="P46" s="463"/>
    </row>
    <row r="47" spans="1:16" s="34" customFormat="1" ht="46.15" customHeight="1">
      <c r="A47" s="179">
        <v>41</v>
      </c>
      <c r="B47" s="354" t="s">
        <v>75</v>
      </c>
      <c r="C47" s="458" t="s">
        <v>1117</v>
      </c>
      <c r="D47" s="456" t="s">
        <v>111</v>
      </c>
      <c r="E47" s="169" t="s">
        <v>1141</v>
      </c>
      <c r="F47" s="184">
        <v>240000</v>
      </c>
      <c r="G47" s="82" t="s">
        <v>23</v>
      </c>
      <c r="H47" s="468" t="s">
        <v>77</v>
      </c>
      <c r="I47" s="82">
        <v>1399</v>
      </c>
      <c r="J47" s="468" t="s">
        <v>25</v>
      </c>
      <c r="K47" s="246">
        <v>1</v>
      </c>
      <c r="L47" s="82"/>
      <c r="M47" s="6" t="s">
        <v>33</v>
      </c>
      <c r="N47" s="468"/>
      <c r="O47" s="468"/>
      <c r="P47" s="463"/>
    </row>
    <row r="48" spans="1:16" s="34" customFormat="1" ht="57.6" customHeight="1">
      <c r="A48" s="588">
        <v>42</v>
      </c>
      <c r="B48" s="354" t="s">
        <v>75</v>
      </c>
      <c r="C48" s="354" t="s">
        <v>1142</v>
      </c>
      <c r="D48" s="456" t="s">
        <v>111</v>
      </c>
      <c r="E48" s="169" t="s">
        <v>1143</v>
      </c>
      <c r="F48" s="184">
        <v>3000000</v>
      </c>
      <c r="G48" s="82" t="s">
        <v>23</v>
      </c>
      <c r="H48" s="468" t="s">
        <v>77</v>
      </c>
      <c r="I48" s="82">
        <v>1399</v>
      </c>
      <c r="J48" s="468" t="s">
        <v>25</v>
      </c>
      <c r="K48" s="238" t="s">
        <v>17</v>
      </c>
      <c r="L48" s="82" t="s">
        <v>1840</v>
      </c>
      <c r="M48" s="692" t="s">
        <v>17</v>
      </c>
      <c r="N48" s="22" t="s">
        <v>1128</v>
      </c>
      <c r="O48" s="22" t="s">
        <v>1144</v>
      </c>
      <c r="P48" s="463"/>
    </row>
    <row r="49" spans="1:16" s="34" customFormat="1" ht="59.45" customHeight="1">
      <c r="A49" s="179">
        <v>43</v>
      </c>
      <c r="B49" s="354" t="s">
        <v>75</v>
      </c>
      <c r="C49" s="354" t="s">
        <v>1145</v>
      </c>
      <c r="D49" s="717" t="s">
        <v>500</v>
      </c>
      <c r="E49" s="635" t="s">
        <v>1146</v>
      </c>
      <c r="F49" s="37">
        <v>30900469</v>
      </c>
      <c r="G49" s="718" t="s">
        <v>23</v>
      </c>
      <c r="H49" s="22" t="s">
        <v>393</v>
      </c>
      <c r="I49" s="718">
        <v>1399</v>
      </c>
      <c r="J49" s="22" t="s">
        <v>25</v>
      </c>
      <c r="K49" s="109">
        <v>1</v>
      </c>
      <c r="L49" s="440"/>
      <c r="M49" s="40" t="s">
        <v>71</v>
      </c>
      <c r="N49" s="22"/>
      <c r="O49" s="22"/>
      <c r="P49" s="110"/>
    </row>
    <row r="50" spans="1:16" s="34" customFormat="1" ht="54" customHeight="1">
      <c r="A50" s="588">
        <v>44</v>
      </c>
      <c r="B50" s="354" t="s">
        <v>75</v>
      </c>
      <c r="C50" s="354" t="s">
        <v>1147</v>
      </c>
      <c r="D50" s="717" t="s">
        <v>500</v>
      </c>
      <c r="E50" s="635" t="s">
        <v>1148</v>
      </c>
      <c r="F50" s="37">
        <v>19199600</v>
      </c>
      <c r="G50" s="718" t="s">
        <v>23</v>
      </c>
      <c r="H50" s="22" t="s">
        <v>393</v>
      </c>
      <c r="I50" s="718">
        <v>1399</v>
      </c>
      <c r="J50" s="22" t="s">
        <v>25</v>
      </c>
      <c r="K50" s="109">
        <v>1</v>
      </c>
      <c r="L50" s="440"/>
      <c r="M50" s="40" t="s">
        <v>71</v>
      </c>
      <c r="N50" s="22"/>
      <c r="O50" s="22"/>
      <c r="P50" s="110"/>
    </row>
    <row r="51" spans="1:16" s="34" customFormat="1" ht="51.6" customHeight="1">
      <c r="A51" s="179">
        <v>45</v>
      </c>
      <c r="B51" s="354" t="s">
        <v>75</v>
      </c>
      <c r="C51" s="354" t="s">
        <v>1149</v>
      </c>
      <c r="D51" s="717" t="s">
        <v>500</v>
      </c>
      <c r="E51" s="635" t="s">
        <v>1150</v>
      </c>
      <c r="F51" s="37">
        <v>4424000</v>
      </c>
      <c r="G51" s="718" t="s">
        <v>23</v>
      </c>
      <c r="H51" s="22" t="s">
        <v>393</v>
      </c>
      <c r="I51" s="718">
        <v>1399</v>
      </c>
      <c r="J51" s="22" t="s">
        <v>25</v>
      </c>
      <c r="K51" s="109">
        <v>1</v>
      </c>
      <c r="L51" s="440"/>
      <c r="M51" s="40" t="s">
        <v>71</v>
      </c>
      <c r="N51" s="22"/>
      <c r="O51" s="22"/>
      <c r="P51" s="110"/>
    </row>
    <row r="52" spans="1:16" s="34" customFormat="1" ht="56.45" customHeight="1">
      <c r="A52" s="588">
        <v>46</v>
      </c>
      <c r="B52" s="354" t="s">
        <v>75</v>
      </c>
      <c r="C52" s="354" t="s">
        <v>1151</v>
      </c>
      <c r="D52" s="717" t="s">
        <v>500</v>
      </c>
      <c r="E52" s="635" t="s">
        <v>1152</v>
      </c>
      <c r="F52" s="37">
        <v>35842261</v>
      </c>
      <c r="G52" s="718" t="s">
        <v>23</v>
      </c>
      <c r="H52" s="22" t="s">
        <v>393</v>
      </c>
      <c r="I52" s="718">
        <v>1399</v>
      </c>
      <c r="J52" s="22" t="s">
        <v>25</v>
      </c>
      <c r="K52" s="109">
        <v>1</v>
      </c>
      <c r="L52" s="440"/>
      <c r="M52" s="40" t="s">
        <v>71</v>
      </c>
      <c r="N52" s="22"/>
      <c r="O52" s="22"/>
      <c r="P52" s="110"/>
    </row>
    <row r="53" spans="1:16" s="34" customFormat="1" ht="66.599999999999994" customHeight="1">
      <c r="A53" s="179">
        <v>47</v>
      </c>
      <c r="B53" s="354" t="s">
        <v>75</v>
      </c>
      <c r="C53" s="354"/>
      <c r="D53" s="717" t="s">
        <v>500</v>
      </c>
      <c r="E53" s="635" t="s">
        <v>1153</v>
      </c>
      <c r="F53" s="37">
        <v>4812500</v>
      </c>
      <c r="G53" s="718" t="s">
        <v>23</v>
      </c>
      <c r="H53" s="22" t="s">
        <v>393</v>
      </c>
      <c r="I53" s="718">
        <v>1400</v>
      </c>
      <c r="J53" s="22" t="s">
        <v>25</v>
      </c>
      <c r="K53" s="109"/>
      <c r="L53" s="440" t="s">
        <v>3</v>
      </c>
      <c r="M53" s="22"/>
      <c r="N53" s="22" t="s">
        <v>325</v>
      </c>
      <c r="O53" s="22" t="s">
        <v>56</v>
      </c>
      <c r="P53" s="110"/>
    </row>
    <row r="54" spans="1:16" s="34" customFormat="1" ht="68.45" customHeight="1">
      <c r="A54" s="588">
        <v>48</v>
      </c>
      <c r="B54" s="354" t="s">
        <v>75</v>
      </c>
      <c r="C54" s="354"/>
      <c r="D54" s="717" t="s">
        <v>500</v>
      </c>
      <c r="E54" s="635" t="s">
        <v>520</v>
      </c>
      <c r="F54" s="37">
        <v>1925000</v>
      </c>
      <c r="G54" s="718" t="s">
        <v>23</v>
      </c>
      <c r="H54" s="22" t="s">
        <v>393</v>
      </c>
      <c r="I54" s="718">
        <v>1400</v>
      </c>
      <c r="J54" s="22" t="s">
        <v>25</v>
      </c>
      <c r="K54" s="109"/>
      <c r="L54" s="440" t="s">
        <v>3</v>
      </c>
      <c r="M54" s="22"/>
      <c r="N54" s="22" t="s">
        <v>325</v>
      </c>
      <c r="O54" s="22" t="s">
        <v>56</v>
      </c>
      <c r="P54" s="110"/>
    </row>
    <row r="55" spans="1:16" s="34" customFormat="1" ht="64.150000000000006" customHeight="1">
      <c r="A55" s="179">
        <v>49</v>
      </c>
      <c r="B55" s="354" t="s">
        <v>75</v>
      </c>
      <c r="C55" s="354"/>
      <c r="D55" s="717" t="s">
        <v>500</v>
      </c>
      <c r="E55" s="635" t="s">
        <v>1154</v>
      </c>
      <c r="F55" s="37">
        <v>1540000</v>
      </c>
      <c r="G55" s="718" t="s">
        <v>23</v>
      </c>
      <c r="H55" s="22" t="s">
        <v>393</v>
      </c>
      <c r="I55" s="718">
        <v>1400</v>
      </c>
      <c r="J55" s="22" t="s">
        <v>25</v>
      </c>
      <c r="K55" s="109"/>
      <c r="L55" s="440" t="s">
        <v>3</v>
      </c>
      <c r="M55" s="40"/>
      <c r="N55" s="22" t="s">
        <v>325</v>
      </c>
      <c r="O55" s="22" t="s">
        <v>56</v>
      </c>
      <c r="P55" s="110"/>
    </row>
    <row r="56" spans="1:16" s="34" customFormat="1" ht="70.150000000000006" customHeight="1">
      <c r="A56" s="588">
        <v>50</v>
      </c>
      <c r="B56" s="354" t="s">
        <v>75</v>
      </c>
      <c r="C56" s="354"/>
      <c r="D56" s="717" t="s">
        <v>500</v>
      </c>
      <c r="E56" s="635" t="s">
        <v>501</v>
      </c>
      <c r="F56" s="37">
        <v>1540000</v>
      </c>
      <c r="G56" s="718" t="s">
        <v>23</v>
      </c>
      <c r="H56" s="22" t="s">
        <v>393</v>
      </c>
      <c r="I56" s="718">
        <v>1400</v>
      </c>
      <c r="J56" s="22" t="s">
        <v>25</v>
      </c>
      <c r="K56" s="109"/>
      <c r="L56" s="440" t="s">
        <v>3</v>
      </c>
      <c r="M56" s="22"/>
      <c r="N56" s="22" t="s">
        <v>325</v>
      </c>
      <c r="O56" s="22" t="s">
        <v>56</v>
      </c>
      <c r="P56" s="110"/>
    </row>
    <row r="57" spans="1:16" s="34" customFormat="1" ht="90">
      <c r="A57" s="179">
        <v>51</v>
      </c>
      <c r="B57" s="354" t="s">
        <v>75</v>
      </c>
      <c r="C57" s="354"/>
      <c r="D57" s="717" t="s">
        <v>500</v>
      </c>
      <c r="E57" s="635" t="s">
        <v>1155</v>
      </c>
      <c r="F57" s="37">
        <v>6468000</v>
      </c>
      <c r="G57" s="718" t="s">
        <v>23</v>
      </c>
      <c r="H57" s="22" t="s">
        <v>393</v>
      </c>
      <c r="I57" s="718">
        <v>1399</v>
      </c>
      <c r="J57" s="22" t="s">
        <v>25</v>
      </c>
      <c r="K57" s="109"/>
      <c r="L57" s="440" t="s">
        <v>3</v>
      </c>
      <c r="M57" s="22"/>
      <c r="N57" s="22" t="s">
        <v>1866</v>
      </c>
      <c r="O57" s="22" t="s">
        <v>1946</v>
      </c>
      <c r="P57" s="110"/>
    </row>
    <row r="58" spans="1:16" s="34" customFormat="1" ht="60.75" customHeight="1">
      <c r="A58" s="588">
        <v>52</v>
      </c>
      <c r="B58" s="354" t="s">
        <v>75</v>
      </c>
      <c r="C58" s="354"/>
      <c r="D58" s="717" t="s">
        <v>500</v>
      </c>
      <c r="E58" s="40" t="s">
        <v>400</v>
      </c>
      <c r="F58" s="803" t="s">
        <v>399</v>
      </c>
      <c r="G58" s="718" t="s">
        <v>23</v>
      </c>
      <c r="H58" s="22" t="s">
        <v>393</v>
      </c>
      <c r="I58" s="718">
        <v>1399</v>
      </c>
      <c r="J58" s="22" t="s">
        <v>25</v>
      </c>
      <c r="K58" s="109">
        <v>0</v>
      </c>
      <c r="L58" s="440" t="s">
        <v>17</v>
      </c>
      <c r="M58" s="22" t="s">
        <v>42</v>
      </c>
      <c r="N58" s="40"/>
      <c r="O58" s="40"/>
      <c r="P58" s="660" t="s">
        <v>1136</v>
      </c>
    </row>
    <row r="59" spans="1:16" s="34" customFormat="1" ht="59.25" customHeight="1">
      <c r="A59" s="179">
        <v>53</v>
      </c>
      <c r="B59" s="354" t="s">
        <v>75</v>
      </c>
      <c r="C59" s="354"/>
      <c r="D59" s="717" t="s">
        <v>500</v>
      </c>
      <c r="E59" s="40" t="s">
        <v>398</v>
      </c>
      <c r="F59" s="803"/>
      <c r="G59" s="718" t="s">
        <v>23</v>
      </c>
      <c r="H59" s="22" t="s">
        <v>393</v>
      </c>
      <c r="I59" s="718">
        <v>1399</v>
      </c>
      <c r="J59" s="22" t="s">
        <v>25</v>
      </c>
      <c r="K59" s="109">
        <v>0</v>
      </c>
      <c r="L59" s="440"/>
      <c r="M59" s="22" t="s">
        <v>42</v>
      </c>
      <c r="N59" s="22"/>
      <c r="O59" s="22"/>
      <c r="P59" s="660" t="s">
        <v>1947</v>
      </c>
    </row>
    <row r="60" spans="1:16" s="34" customFormat="1" ht="60.75" customHeight="1">
      <c r="A60" s="588">
        <v>54</v>
      </c>
      <c r="B60" s="354" t="s">
        <v>75</v>
      </c>
      <c r="C60" s="354"/>
      <c r="D60" s="717" t="s">
        <v>500</v>
      </c>
      <c r="E60" s="40" t="s">
        <v>397</v>
      </c>
      <c r="F60" s="803"/>
      <c r="G60" s="718" t="s">
        <v>23</v>
      </c>
      <c r="H60" s="22" t="s">
        <v>393</v>
      </c>
      <c r="I60" s="718">
        <v>1399</v>
      </c>
      <c r="J60" s="22" t="s">
        <v>25</v>
      </c>
      <c r="K60" s="109">
        <v>0</v>
      </c>
      <c r="L60" s="718"/>
      <c r="M60" s="22" t="s">
        <v>42</v>
      </c>
      <c r="N60" s="22"/>
      <c r="O60" s="22"/>
      <c r="P60" s="660" t="s">
        <v>1136</v>
      </c>
    </row>
    <row r="61" spans="1:16" s="34" customFormat="1" ht="58.5" customHeight="1">
      <c r="A61" s="179">
        <v>55</v>
      </c>
      <c r="B61" s="354" t="s">
        <v>75</v>
      </c>
      <c r="C61" s="354"/>
      <c r="D61" s="717" t="s">
        <v>500</v>
      </c>
      <c r="E61" s="40" t="s">
        <v>396</v>
      </c>
      <c r="F61" s="803"/>
      <c r="G61" s="718" t="s">
        <v>23</v>
      </c>
      <c r="H61" s="22" t="s">
        <v>393</v>
      </c>
      <c r="I61" s="718">
        <v>1399</v>
      </c>
      <c r="J61" s="22" t="s">
        <v>25</v>
      </c>
      <c r="K61" s="109">
        <v>0</v>
      </c>
      <c r="L61" s="718"/>
      <c r="M61" s="22" t="s">
        <v>42</v>
      </c>
      <c r="N61" s="22"/>
      <c r="O61" s="22"/>
      <c r="P61" s="660" t="s">
        <v>1947</v>
      </c>
    </row>
    <row r="62" spans="1:16" s="34" customFormat="1" ht="48.75" customHeight="1">
      <c r="A62" s="588">
        <v>56</v>
      </c>
      <c r="B62" s="354" t="s">
        <v>75</v>
      </c>
      <c r="C62" s="354"/>
      <c r="D62" s="717" t="s">
        <v>500</v>
      </c>
      <c r="E62" s="40" t="s">
        <v>395</v>
      </c>
      <c r="F62" s="803"/>
      <c r="G62" s="718" t="s">
        <v>23</v>
      </c>
      <c r="H62" s="22" t="s">
        <v>393</v>
      </c>
      <c r="I62" s="718">
        <v>1399</v>
      </c>
      <c r="J62" s="22" t="s">
        <v>25</v>
      </c>
      <c r="K62" s="109">
        <v>0</v>
      </c>
      <c r="L62" s="718"/>
      <c r="M62" s="22" t="s">
        <v>42</v>
      </c>
      <c r="N62" s="22"/>
      <c r="O62" s="22"/>
      <c r="P62" s="660" t="s">
        <v>1136</v>
      </c>
    </row>
    <row r="63" spans="1:16" s="34" customFormat="1" ht="64.5" customHeight="1">
      <c r="A63" s="179">
        <v>57</v>
      </c>
      <c r="B63" s="354" t="s">
        <v>75</v>
      </c>
      <c r="C63" s="354"/>
      <c r="D63" s="717" t="s">
        <v>500</v>
      </c>
      <c r="E63" s="40" t="s">
        <v>394</v>
      </c>
      <c r="F63" s="803"/>
      <c r="G63" s="718" t="s">
        <v>23</v>
      </c>
      <c r="H63" s="22" t="s">
        <v>393</v>
      </c>
      <c r="I63" s="718">
        <v>1399</v>
      </c>
      <c r="J63" s="22" t="s">
        <v>25</v>
      </c>
      <c r="K63" s="109">
        <v>0</v>
      </c>
      <c r="L63" s="718"/>
      <c r="M63" s="22" t="s">
        <v>42</v>
      </c>
      <c r="N63" s="22"/>
      <c r="O63" s="22"/>
      <c r="P63" s="660" t="s">
        <v>1136</v>
      </c>
    </row>
    <row r="64" spans="1:16" s="34" customFormat="1" ht="78" customHeight="1">
      <c r="A64" s="588">
        <v>58</v>
      </c>
      <c r="B64" s="354" t="s">
        <v>75</v>
      </c>
      <c r="C64" s="714" t="s">
        <v>1156</v>
      </c>
      <c r="D64" s="717" t="s">
        <v>57</v>
      </c>
      <c r="E64" s="635" t="s">
        <v>1157</v>
      </c>
      <c r="F64" s="37">
        <v>2544480</v>
      </c>
      <c r="G64" s="718" t="s">
        <v>23</v>
      </c>
      <c r="H64" s="22" t="s">
        <v>58</v>
      </c>
      <c r="I64" s="718">
        <v>1399</v>
      </c>
      <c r="J64" s="22" t="s">
        <v>25</v>
      </c>
      <c r="K64" s="109">
        <v>0.05</v>
      </c>
      <c r="L64" s="22"/>
      <c r="M64" s="22" t="s">
        <v>42</v>
      </c>
      <c r="N64" s="22"/>
      <c r="O64" s="22"/>
      <c r="P64" s="110"/>
    </row>
    <row r="65" spans="1:17" s="34" customFormat="1" ht="53.45" customHeight="1">
      <c r="A65" s="179">
        <v>59</v>
      </c>
      <c r="B65" s="354" t="s">
        <v>75</v>
      </c>
      <c r="C65" s="714" t="s">
        <v>1156</v>
      </c>
      <c r="D65" s="717" t="s">
        <v>57</v>
      </c>
      <c r="E65" s="635" t="s">
        <v>1158</v>
      </c>
      <c r="F65" s="37">
        <v>3682800</v>
      </c>
      <c r="G65" s="718" t="s">
        <v>23</v>
      </c>
      <c r="H65" s="22" t="s">
        <v>58</v>
      </c>
      <c r="I65" s="718">
        <v>1399</v>
      </c>
      <c r="J65" s="22" t="s">
        <v>25</v>
      </c>
      <c r="K65" s="109">
        <v>0.05</v>
      </c>
      <c r="L65" s="22"/>
      <c r="M65" s="22" t="s">
        <v>42</v>
      </c>
      <c r="N65" s="22"/>
      <c r="O65" s="22"/>
      <c r="P65" s="110"/>
    </row>
    <row r="66" spans="1:17" s="34" customFormat="1" ht="46.9" customHeight="1">
      <c r="A66" s="588">
        <v>60</v>
      </c>
      <c r="B66" s="354" t="s">
        <v>75</v>
      </c>
      <c r="C66" s="714" t="s">
        <v>1156</v>
      </c>
      <c r="D66" s="717" t="s">
        <v>57</v>
      </c>
      <c r="E66" s="635" t="s">
        <v>1159</v>
      </c>
      <c r="F66" s="37">
        <v>3917160</v>
      </c>
      <c r="G66" s="718" t="s">
        <v>23</v>
      </c>
      <c r="H66" s="22" t="s">
        <v>58</v>
      </c>
      <c r="I66" s="718">
        <v>1399</v>
      </c>
      <c r="J66" s="22" t="s">
        <v>25</v>
      </c>
      <c r="K66" s="109">
        <v>0.05</v>
      </c>
      <c r="L66" s="22"/>
      <c r="M66" s="22" t="s">
        <v>42</v>
      </c>
      <c r="N66" s="22"/>
      <c r="O66" s="22"/>
      <c r="P66" s="110"/>
    </row>
    <row r="67" spans="1:17" s="34" customFormat="1" ht="51" customHeight="1">
      <c r="A67" s="179">
        <v>61</v>
      </c>
      <c r="B67" s="354" t="s">
        <v>75</v>
      </c>
      <c r="C67" s="714" t="s">
        <v>1156</v>
      </c>
      <c r="D67" s="717" t="s">
        <v>57</v>
      </c>
      <c r="E67" s="635" t="s">
        <v>1160</v>
      </c>
      <c r="F67" s="37">
        <v>22151186.400000002</v>
      </c>
      <c r="G67" s="718" t="s">
        <v>23</v>
      </c>
      <c r="H67" s="22" t="s">
        <v>58</v>
      </c>
      <c r="I67" s="718">
        <v>1399</v>
      </c>
      <c r="J67" s="22" t="s">
        <v>25</v>
      </c>
      <c r="K67" s="109">
        <v>0.05</v>
      </c>
      <c r="L67" s="22"/>
      <c r="M67" s="22" t="s">
        <v>42</v>
      </c>
      <c r="N67" s="22"/>
      <c r="O67" s="22"/>
      <c r="P67" s="440" t="s">
        <v>17</v>
      </c>
    </row>
    <row r="68" spans="1:17" s="34" customFormat="1" ht="47.45" customHeight="1">
      <c r="A68" s="588">
        <v>62</v>
      </c>
      <c r="B68" s="354" t="s">
        <v>75</v>
      </c>
      <c r="C68" s="714" t="s">
        <v>1161</v>
      </c>
      <c r="D68" s="717" t="s">
        <v>57</v>
      </c>
      <c r="E68" s="635" t="s">
        <v>1162</v>
      </c>
      <c r="F68" s="37">
        <v>23808000</v>
      </c>
      <c r="G68" s="718" t="s">
        <v>23</v>
      </c>
      <c r="H68" s="22" t="s">
        <v>58</v>
      </c>
      <c r="I68" s="718">
        <v>1399</v>
      </c>
      <c r="J68" s="22" t="s">
        <v>25</v>
      </c>
      <c r="K68" s="109">
        <v>0.05</v>
      </c>
      <c r="L68" s="159"/>
      <c r="M68" s="22" t="s">
        <v>42</v>
      </c>
      <c r="N68" s="740"/>
      <c r="O68" s="740"/>
      <c r="P68" s="110"/>
    </row>
    <row r="69" spans="1:17" s="34" customFormat="1" ht="72">
      <c r="A69" s="179">
        <v>63</v>
      </c>
      <c r="B69" s="354" t="s">
        <v>75</v>
      </c>
      <c r="C69" s="714" t="s">
        <v>1156</v>
      </c>
      <c r="D69" s="717" t="s">
        <v>57</v>
      </c>
      <c r="E69" s="635" t="s">
        <v>1163</v>
      </c>
      <c r="F69" s="37">
        <v>23712024</v>
      </c>
      <c r="G69" s="718" t="s">
        <v>23</v>
      </c>
      <c r="H69" s="22" t="s">
        <v>58</v>
      </c>
      <c r="I69" s="718">
        <v>1399</v>
      </c>
      <c r="J69" s="22" t="s">
        <v>25</v>
      </c>
      <c r="K69" s="109">
        <v>0.05</v>
      </c>
      <c r="L69" s="159"/>
      <c r="M69" s="22" t="s">
        <v>42</v>
      </c>
      <c r="N69" s="159"/>
      <c r="O69" s="159"/>
      <c r="P69" s="110"/>
    </row>
    <row r="70" spans="1:17" s="34" customFormat="1" ht="60.6" customHeight="1">
      <c r="A70" s="588">
        <v>64</v>
      </c>
      <c r="B70" s="354" t="s">
        <v>75</v>
      </c>
      <c r="C70" s="714" t="s">
        <v>1164</v>
      </c>
      <c r="D70" s="717" t="s">
        <v>57</v>
      </c>
      <c r="E70" s="635" t="s">
        <v>1165</v>
      </c>
      <c r="F70" s="37">
        <v>7934760.0000000009</v>
      </c>
      <c r="G70" s="718" t="s">
        <v>23</v>
      </c>
      <c r="H70" s="22" t="s">
        <v>58</v>
      </c>
      <c r="I70" s="718">
        <v>1399</v>
      </c>
      <c r="J70" s="22" t="s">
        <v>25</v>
      </c>
      <c r="K70" s="109">
        <v>0.05</v>
      </c>
      <c r="L70" s="159"/>
      <c r="M70" s="22" t="s">
        <v>42</v>
      </c>
      <c r="N70" s="159"/>
      <c r="O70" s="159"/>
      <c r="P70" s="110"/>
    </row>
    <row r="71" spans="1:17" s="34" customFormat="1" ht="45" customHeight="1">
      <c r="A71" s="179">
        <v>65</v>
      </c>
      <c r="B71" s="354" t="s">
        <v>75</v>
      </c>
      <c r="C71" s="714" t="s">
        <v>1164</v>
      </c>
      <c r="D71" s="717" t="s">
        <v>57</v>
      </c>
      <c r="E71" s="635" t="s">
        <v>1166</v>
      </c>
      <c r="F71" s="37">
        <v>14024400.000000002</v>
      </c>
      <c r="G71" s="718" t="s">
        <v>23</v>
      </c>
      <c r="H71" s="22" t="s">
        <v>58</v>
      </c>
      <c r="I71" s="718">
        <v>1399</v>
      </c>
      <c r="J71" s="22" t="s">
        <v>25</v>
      </c>
      <c r="K71" s="109">
        <v>0.05</v>
      </c>
      <c r="L71" s="159"/>
      <c r="M71" s="22" t="s">
        <v>42</v>
      </c>
      <c r="N71" s="159"/>
      <c r="O71" s="159"/>
      <c r="P71" s="110"/>
    </row>
    <row r="72" spans="1:17" s="34" customFormat="1" ht="49.9" customHeight="1">
      <c r="A72" s="588">
        <v>66</v>
      </c>
      <c r="B72" s="354" t="s">
        <v>75</v>
      </c>
      <c r="C72" s="714" t="s">
        <v>1164</v>
      </c>
      <c r="D72" s="717" t="s">
        <v>57</v>
      </c>
      <c r="E72" s="635" t="s">
        <v>1167</v>
      </c>
      <c r="F72" s="37">
        <v>4464000</v>
      </c>
      <c r="G72" s="718" t="s">
        <v>23</v>
      </c>
      <c r="H72" s="22" t="s">
        <v>58</v>
      </c>
      <c r="I72" s="718">
        <v>1399</v>
      </c>
      <c r="J72" s="22" t="s">
        <v>25</v>
      </c>
      <c r="K72" s="109">
        <v>0.05</v>
      </c>
      <c r="L72" s="159"/>
      <c r="M72" s="22" t="s">
        <v>42</v>
      </c>
      <c r="N72" s="159"/>
      <c r="O72" s="159"/>
      <c r="P72" s="110"/>
    </row>
    <row r="73" spans="1:17" s="34" customFormat="1" ht="50.45" customHeight="1">
      <c r="A73" s="179">
        <v>67</v>
      </c>
      <c r="B73" s="354" t="s">
        <v>75</v>
      </c>
      <c r="C73" s="714" t="s">
        <v>1164</v>
      </c>
      <c r="D73" s="717" t="s">
        <v>57</v>
      </c>
      <c r="E73" s="635" t="s">
        <v>1168</v>
      </c>
      <c r="F73" s="37">
        <v>4464000</v>
      </c>
      <c r="G73" s="718" t="s">
        <v>23</v>
      </c>
      <c r="H73" s="22" t="s">
        <v>58</v>
      </c>
      <c r="I73" s="718">
        <v>1399</v>
      </c>
      <c r="J73" s="22" t="s">
        <v>25</v>
      </c>
      <c r="K73" s="109">
        <v>0.05</v>
      </c>
      <c r="L73" s="159"/>
      <c r="M73" s="22" t="s">
        <v>42</v>
      </c>
      <c r="N73" s="159"/>
      <c r="O73" s="159"/>
      <c r="P73" s="110"/>
    </row>
    <row r="74" spans="1:17" s="34" customFormat="1" ht="57.6" customHeight="1">
      <c r="A74" s="588">
        <v>68</v>
      </c>
      <c r="B74" s="354" t="s">
        <v>75</v>
      </c>
      <c r="C74" s="714" t="s">
        <v>1164</v>
      </c>
      <c r="D74" s="717" t="s">
        <v>57</v>
      </c>
      <c r="E74" s="635" t="s">
        <v>1169</v>
      </c>
      <c r="F74" s="37">
        <v>4464000</v>
      </c>
      <c r="G74" s="718" t="s">
        <v>23</v>
      </c>
      <c r="H74" s="22" t="s">
        <v>58</v>
      </c>
      <c r="I74" s="718">
        <v>1399</v>
      </c>
      <c r="J74" s="22" t="s">
        <v>25</v>
      </c>
      <c r="K74" s="109">
        <v>0.05</v>
      </c>
      <c r="L74" s="159"/>
      <c r="M74" s="22" t="s">
        <v>42</v>
      </c>
      <c r="N74" s="159"/>
      <c r="O74" s="159"/>
      <c r="P74" s="110"/>
    </row>
    <row r="75" spans="1:17" s="34" customFormat="1" ht="83.25" customHeight="1">
      <c r="A75" s="179">
        <v>69</v>
      </c>
      <c r="B75" s="354" t="s">
        <v>75</v>
      </c>
      <c r="C75" s="807" t="s">
        <v>1170</v>
      </c>
      <c r="D75" s="717" t="s">
        <v>57</v>
      </c>
      <c r="E75" s="635" t="s">
        <v>1171</v>
      </c>
      <c r="F75" s="37">
        <v>248198.40000000002</v>
      </c>
      <c r="G75" s="718" t="s">
        <v>23</v>
      </c>
      <c r="H75" s="22" t="s">
        <v>58</v>
      </c>
      <c r="I75" s="718">
        <v>1399</v>
      </c>
      <c r="J75" s="22" t="s">
        <v>25</v>
      </c>
      <c r="K75" s="109">
        <v>1</v>
      </c>
      <c r="L75" s="482"/>
      <c r="M75" s="22" t="s">
        <v>33</v>
      </c>
      <c r="N75" s="159"/>
      <c r="O75" s="159"/>
      <c r="P75" s="110"/>
    </row>
    <row r="76" spans="1:17" s="34" customFormat="1" ht="91.5" customHeight="1">
      <c r="A76" s="588">
        <v>70</v>
      </c>
      <c r="B76" s="354" t="s">
        <v>75</v>
      </c>
      <c r="C76" s="809"/>
      <c r="D76" s="717" t="s">
        <v>57</v>
      </c>
      <c r="E76" s="635" t="s">
        <v>1172</v>
      </c>
      <c r="F76" s="37">
        <v>10627050</v>
      </c>
      <c r="G76" s="718" t="s">
        <v>23</v>
      </c>
      <c r="H76" s="22" t="s">
        <v>58</v>
      </c>
      <c r="I76" s="718">
        <v>1399</v>
      </c>
      <c r="J76" s="22" t="s">
        <v>25</v>
      </c>
      <c r="K76" s="109">
        <v>1</v>
      </c>
      <c r="L76" s="482"/>
      <c r="M76" s="22" t="s">
        <v>71</v>
      </c>
      <c r="N76" s="159"/>
      <c r="O76" s="159"/>
      <c r="P76" s="110"/>
    </row>
    <row r="77" spans="1:17" s="34" customFormat="1" ht="57" customHeight="1">
      <c r="A77" s="179">
        <v>71</v>
      </c>
      <c r="B77" s="354" t="s">
        <v>75</v>
      </c>
      <c r="C77" s="807" t="s">
        <v>1170</v>
      </c>
      <c r="D77" s="717" t="s">
        <v>57</v>
      </c>
      <c r="E77" s="635" t="s">
        <v>1173</v>
      </c>
      <c r="F77" s="37">
        <v>30348500</v>
      </c>
      <c r="G77" s="718" t="s">
        <v>23</v>
      </c>
      <c r="H77" s="22" t="s">
        <v>58</v>
      </c>
      <c r="I77" s="718">
        <v>1399</v>
      </c>
      <c r="J77" s="22" t="s">
        <v>25</v>
      </c>
      <c r="K77" s="109" t="s">
        <v>17</v>
      </c>
      <c r="L77" s="482" t="s">
        <v>580</v>
      </c>
      <c r="M77" s="100" t="s">
        <v>17</v>
      </c>
      <c r="N77" s="100" t="s">
        <v>1948</v>
      </c>
      <c r="O77" s="100" t="s">
        <v>1949</v>
      </c>
      <c r="P77" s="110"/>
    </row>
    <row r="78" spans="1:17" s="34" customFormat="1" ht="69" customHeight="1">
      <c r="A78" s="588">
        <v>72</v>
      </c>
      <c r="B78" s="354" t="s">
        <v>75</v>
      </c>
      <c r="C78" s="809"/>
      <c r="D78" s="717" t="s">
        <v>57</v>
      </c>
      <c r="E78" s="635" t="s">
        <v>1174</v>
      </c>
      <c r="F78" s="37">
        <v>3335000</v>
      </c>
      <c r="G78" s="718" t="s">
        <v>23</v>
      </c>
      <c r="H78" s="22" t="s">
        <v>58</v>
      </c>
      <c r="I78" s="718">
        <v>1399</v>
      </c>
      <c r="J78" s="22" t="s">
        <v>25</v>
      </c>
      <c r="K78" s="109" t="s">
        <v>17</v>
      </c>
      <c r="L78" s="482" t="s">
        <v>1955</v>
      </c>
      <c r="M78" s="75"/>
      <c r="N78" s="100" t="s">
        <v>1948</v>
      </c>
      <c r="O78" s="100" t="s">
        <v>1949</v>
      </c>
      <c r="P78" s="110" t="s">
        <v>17</v>
      </c>
    </row>
    <row r="79" spans="1:17" s="34" customFormat="1" ht="59.45" customHeight="1">
      <c r="A79" s="179">
        <v>73</v>
      </c>
      <c r="B79" s="354" t="s">
        <v>75</v>
      </c>
      <c r="C79" s="807" t="s">
        <v>1175</v>
      </c>
      <c r="D79" s="717" t="s">
        <v>57</v>
      </c>
      <c r="E79" s="635" t="s">
        <v>1176</v>
      </c>
      <c r="F79" s="37">
        <v>2599238.4000000004</v>
      </c>
      <c r="G79" s="718" t="s">
        <v>23</v>
      </c>
      <c r="H79" s="22" t="s">
        <v>58</v>
      </c>
      <c r="I79" s="718">
        <v>1399</v>
      </c>
      <c r="J79" s="22" t="s">
        <v>25</v>
      </c>
      <c r="K79" s="109">
        <v>1</v>
      </c>
      <c r="L79" s="482"/>
      <c r="M79" s="22" t="s">
        <v>33</v>
      </c>
      <c r="N79" s="159"/>
      <c r="O79" s="159"/>
      <c r="P79" s="110"/>
    </row>
    <row r="80" spans="1:17" s="34" customFormat="1" ht="90.6" customHeight="1">
      <c r="A80" s="588">
        <v>74</v>
      </c>
      <c r="B80" s="354" t="s">
        <v>75</v>
      </c>
      <c r="C80" s="808"/>
      <c r="D80" s="717" t="s">
        <v>57</v>
      </c>
      <c r="E80" s="635" t="s">
        <v>1177</v>
      </c>
      <c r="F80" s="37">
        <v>773760</v>
      </c>
      <c r="G80" s="718" t="s">
        <v>23</v>
      </c>
      <c r="H80" s="22" t="s">
        <v>58</v>
      </c>
      <c r="I80" s="718">
        <v>1399</v>
      </c>
      <c r="J80" s="22" t="s">
        <v>25</v>
      </c>
      <c r="K80" s="109">
        <v>1</v>
      </c>
      <c r="L80" s="482"/>
      <c r="M80" s="22" t="s">
        <v>33</v>
      </c>
      <c r="N80" s="159"/>
      <c r="O80" s="159"/>
      <c r="P80" s="110"/>
      <c r="Q80" s="497"/>
    </row>
    <row r="81" spans="1:19" s="34" customFormat="1" ht="72">
      <c r="A81" s="179">
        <v>75</v>
      </c>
      <c r="B81" s="354" t="s">
        <v>75</v>
      </c>
      <c r="C81" s="808"/>
      <c r="D81" s="717" t="s">
        <v>57</v>
      </c>
      <c r="E81" s="635" t="s">
        <v>461</v>
      </c>
      <c r="F81" s="37">
        <v>111600.00000000001</v>
      </c>
      <c r="G81" s="718" t="s">
        <v>23</v>
      </c>
      <c r="H81" s="22" t="s">
        <v>58</v>
      </c>
      <c r="I81" s="718">
        <v>1399</v>
      </c>
      <c r="J81" s="22" t="s">
        <v>25</v>
      </c>
      <c r="K81" s="109">
        <v>1</v>
      </c>
      <c r="L81" s="482"/>
      <c r="M81" s="22" t="s">
        <v>33</v>
      </c>
      <c r="N81" s="159"/>
      <c r="O81" s="159"/>
      <c r="P81" s="110" t="s">
        <v>17</v>
      </c>
      <c r="Q81" s="497"/>
    </row>
    <row r="82" spans="1:19" s="34" customFormat="1" ht="64.5" customHeight="1">
      <c r="A82" s="588">
        <v>76</v>
      </c>
      <c r="B82" s="354" t="s">
        <v>75</v>
      </c>
      <c r="C82" s="809"/>
      <c r="D82" s="717" t="s">
        <v>57</v>
      </c>
      <c r="E82" s="635" t="s">
        <v>1178</v>
      </c>
      <c r="F82" s="37">
        <v>993240</v>
      </c>
      <c r="G82" s="718" t="s">
        <v>23</v>
      </c>
      <c r="H82" s="22" t="s">
        <v>58</v>
      </c>
      <c r="I82" s="718">
        <v>1399</v>
      </c>
      <c r="J82" s="22" t="s">
        <v>25</v>
      </c>
      <c r="K82" s="109">
        <v>1</v>
      </c>
      <c r="L82" s="482"/>
      <c r="M82" s="22" t="s">
        <v>33</v>
      </c>
      <c r="N82" s="159"/>
      <c r="O82" s="159"/>
      <c r="P82" s="110"/>
      <c r="Q82" s="497"/>
    </row>
    <row r="83" spans="1:19" s="34" customFormat="1" ht="63" customHeight="1">
      <c r="A83" s="179">
        <v>77</v>
      </c>
      <c r="B83" s="354" t="s">
        <v>75</v>
      </c>
      <c r="C83" s="843" t="s">
        <v>1170</v>
      </c>
      <c r="D83" s="717" t="s">
        <v>57</v>
      </c>
      <c r="E83" s="635" t="s">
        <v>1089</v>
      </c>
      <c r="F83" s="37">
        <v>3542928.0000000005</v>
      </c>
      <c r="G83" s="718" t="s">
        <v>23</v>
      </c>
      <c r="H83" s="22" t="s">
        <v>58</v>
      </c>
      <c r="I83" s="718">
        <v>1399</v>
      </c>
      <c r="J83" s="22" t="s">
        <v>25</v>
      </c>
      <c r="K83" s="109">
        <v>1</v>
      </c>
      <c r="L83" s="482"/>
      <c r="M83" s="22" t="s">
        <v>33</v>
      </c>
      <c r="N83" s="159"/>
      <c r="O83" s="159"/>
      <c r="P83" s="110"/>
      <c r="Q83" s="497"/>
    </row>
    <row r="84" spans="1:19" s="34" customFormat="1" ht="67.5" customHeight="1">
      <c r="A84" s="588">
        <v>78</v>
      </c>
      <c r="B84" s="354" t="s">
        <v>75</v>
      </c>
      <c r="C84" s="843"/>
      <c r="D84" s="717" t="s">
        <v>57</v>
      </c>
      <c r="E84" s="635" t="s">
        <v>1179</v>
      </c>
      <c r="F84" s="37">
        <v>395000</v>
      </c>
      <c r="G84" s="718" t="s">
        <v>23</v>
      </c>
      <c r="H84" s="22" t="s">
        <v>58</v>
      </c>
      <c r="I84" s="718">
        <v>1399</v>
      </c>
      <c r="J84" s="22" t="s">
        <v>25</v>
      </c>
      <c r="K84" s="109">
        <v>1</v>
      </c>
      <c r="L84" s="482"/>
      <c r="M84" s="22" t="s">
        <v>71</v>
      </c>
      <c r="N84" s="159"/>
      <c r="O84" s="159"/>
      <c r="P84" s="110"/>
      <c r="Q84" s="497"/>
    </row>
    <row r="85" spans="1:19" s="461" customFormat="1" ht="59.25" customHeight="1">
      <c r="A85" s="179">
        <v>79</v>
      </c>
      <c r="B85" s="354" t="s">
        <v>75</v>
      </c>
      <c r="C85" s="714" t="s">
        <v>1161</v>
      </c>
      <c r="D85" s="717" t="s">
        <v>59</v>
      </c>
      <c r="E85" s="635" t="s">
        <v>1180</v>
      </c>
      <c r="F85" s="37">
        <v>1838407</v>
      </c>
      <c r="G85" s="718" t="s">
        <v>23</v>
      </c>
      <c r="H85" s="22" t="s">
        <v>58</v>
      </c>
      <c r="I85" s="718">
        <v>1399</v>
      </c>
      <c r="J85" s="22" t="s">
        <v>25</v>
      </c>
      <c r="K85" s="24"/>
      <c r="L85" s="482" t="s">
        <v>1956</v>
      </c>
      <c r="M85" s="22"/>
      <c r="N85" s="159" t="s">
        <v>1950</v>
      </c>
      <c r="O85" s="496" t="s">
        <v>1951</v>
      </c>
      <c r="P85" s="110"/>
      <c r="Q85" s="226"/>
      <c r="R85" s="29"/>
      <c r="S85" s="29"/>
    </row>
    <row r="86" spans="1:19" s="461" customFormat="1" ht="59.25" customHeight="1">
      <c r="A86" s="588">
        <v>80</v>
      </c>
      <c r="B86" s="354" t="s">
        <v>75</v>
      </c>
      <c r="C86" s="714" t="s">
        <v>1181</v>
      </c>
      <c r="D86" s="717" t="s">
        <v>59</v>
      </c>
      <c r="E86" s="635" t="s">
        <v>1182</v>
      </c>
      <c r="F86" s="37">
        <v>1552517</v>
      </c>
      <c r="G86" s="718" t="s">
        <v>23</v>
      </c>
      <c r="H86" s="22" t="s">
        <v>58</v>
      </c>
      <c r="I86" s="718">
        <v>1399</v>
      </c>
      <c r="J86" s="22" t="s">
        <v>25</v>
      </c>
      <c r="K86" s="24"/>
      <c r="L86" s="482" t="s">
        <v>1956</v>
      </c>
      <c r="M86" s="22"/>
      <c r="N86" s="159" t="s">
        <v>1950</v>
      </c>
      <c r="O86" s="496" t="s">
        <v>1951</v>
      </c>
      <c r="P86" s="110"/>
      <c r="Q86" s="226"/>
      <c r="R86" s="29"/>
      <c r="S86" s="29"/>
    </row>
    <row r="87" spans="1:19" s="461" customFormat="1" ht="59.25" customHeight="1">
      <c r="A87" s="179">
        <v>81</v>
      </c>
      <c r="B87" s="354" t="s">
        <v>75</v>
      </c>
      <c r="C87" s="714" t="s">
        <v>1156</v>
      </c>
      <c r="D87" s="717" t="s">
        <v>59</v>
      </c>
      <c r="E87" s="635" t="s">
        <v>1183</v>
      </c>
      <c r="F87" s="37">
        <v>10522502</v>
      </c>
      <c r="G87" s="718" t="s">
        <v>23</v>
      </c>
      <c r="H87" s="22" t="s">
        <v>58</v>
      </c>
      <c r="I87" s="718">
        <v>1399</v>
      </c>
      <c r="J87" s="22" t="s">
        <v>25</v>
      </c>
      <c r="K87" s="24"/>
      <c r="L87" s="482" t="s">
        <v>1956</v>
      </c>
      <c r="M87" s="22"/>
      <c r="N87" s="159" t="s">
        <v>1950</v>
      </c>
      <c r="O87" s="496" t="s">
        <v>1951</v>
      </c>
      <c r="P87" s="110"/>
      <c r="Q87" s="226"/>
      <c r="R87" s="29"/>
      <c r="S87" s="29"/>
    </row>
    <row r="88" spans="1:19" s="461" customFormat="1" ht="59.25" customHeight="1">
      <c r="A88" s="588">
        <v>82</v>
      </c>
      <c r="B88" s="354" t="s">
        <v>75</v>
      </c>
      <c r="C88" s="714" t="s">
        <v>1161</v>
      </c>
      <c r="D88" s="717" t="s">
        <v>59</v>
      </c>
      <c r="E88" s="635" t="s">
        <v>1184</v>
      </c>
      <c r="F88" s="37">
        <v>5014393</v>
      </c>
      <c r="G88" s="718" t="s">
        <v>23</v>
      </c>
      <c r="H88" s="22" t="s">
        <v>58</v>
      </c>
      <c r="I88" s="718">
        <v>1399</v>
      </c>
      <c r="J88" s="22" t="s">
        <v>25</v>
      </c>
      <c r="K88" s="24"/>
      <c r="L88" s="482" t="s">
        <v>1956</v>
      </c>
      <c r="M88" s="22"/>
      <c r="N88" s="159" t="s">
        <v>1950</v>
      </c>
      <c r="O88" s="496" t="s">
        <v>1951</v>
      </c>
      <c r="P88" s="110"/>
      <c r="Q88" s="226"/>
      <c r="R88" s="29"/>
      <c r="S88" s="29"/>
    </row>
    <row r="89" spans="1:19" s="461" customFormat="1" ht="59.25" customHeight="1">
      <c r="A89" s="179">
        <v>83</v>
      </c>
      <c r="B89" s="354" t="s">
        <v>75</v>
      </c>
      <c r="C89" s="714" t="s">
        <v>1161</v>
      </c>
      <c r="D89" s="717" t="s">
        <v>59</v>
      </c>
      <c r="E89" s="635" t="s">
        <v>1185</v>
      </c>
      <c r="F89" s="37">
        <v>8703239</v>
      </c>
      <c r="G89" s="718" t="s">
        <v>23</v>
      </c>
      <c r="H89" s="22" t="s">
        <v>58</v>
      </c>
      <c r="I89" s="718">
        <v>1399</v>
      </c>
      <c r="J89" s="22" t="s">
        <v>25</v>
      </c>
      <c r="K89" s="24"/>
      <c r="L89" s="482" t="s">
        <v>1956</v>
      </c>
      <c r="M89" s="22"/>
      <c r="N89" s="159" t="s">
        <v>1950</v>
      </c>
      <c r="O89" s="496" t="s">
        <v>1951</v>
      </c>
      <c r="P89" s="110"/>
      <c r="Q89" s="226"/>
      <c r="R89" s="29"/>
      <c r="S89" s="29"/>
    </row>
    <row r="90" spans="1:19" s="461" customFormat="1" ht="59.25" customHeight="1">
      <c r="A90" s="588">
        <v>84</v>
      </c>
      <c r="B90" s="354" t="s">
        <v>75</v>
      </c>
      <c r="C90" s="714" t="s">
        <v>1090</v>
      </c>
      <c r="D90" s="717" t="s">
        <v>59</v>
      </c>
      <c r="E90" s="635" t="s">
        <v>1186</v>
      </c>
      <c r="F90" s="37">
        <v>18209908</v>
      </c>
      <c r="G90" s="718" t="s">
        <v>23</v>
      </c>
      <c r="H90" s="22" t="s">
        <v>58</v>
      </c>
      <c r="I90" s="718">
        <v>1399</v>
      </c>
      <c r="J90" s="22" t="s">
        <v>25</v>
      </c>
      <c r="K90" s="24"/>
      <c r="L90" s="482" t="s">
        <v>1956</v>
      </c>
      <c r="M90" s="22" t="s">
        <v>17</v>
      </c>
      <c r="N90" s="159" t="s">
        <v>1950</v>
      </c>
      <c r="O90" s="496" t="s">
        <v>1951</v>
      </c>
      <c r="P90" s="110"/>
      <c r="Q90" s="226"/>
      <c r="R90" s="29"/>
      <c r="S90" s="29"/>
    </row>
    <row r="91" spans="1:19" s="461" customFormat="1" ht="39.75" customHeight="1">
      <c r="A91" s="179">
        <v>85</v>
      </c>
      <c r="B91" s="354" t="s">
        <v>75</v>
      </c>
      <c r="C91" s="354"/>
      <c r="D91" s="717" t="s">
        <v>59</v>
      </c>
      <c r="E91" s="741" t="s">
        <v>431</v>
      </c>
      <c r="F91" s="37">
        <v>267821</v>
      </c>
      <c r="G91" s="718" t="s">
        <v>23</v>
      </c>
      <c r="H91" s="22" t="s">
        <v>58</v>
      </c>
      <c r="I91" s="718">
        <v>1399</v>
      </c>
      <c r="J91" s="22" t="s">
        <v>25</v>
      </c>
      <c r="K91" s="24">
        <v>1</v>
      </c>
      <c r="L91" s="482"/>
      <c r="M91" s="27" t="s">
        <v>71</v>
      </c>
      <c r="N91" s="159"/>
      <c r="O91" s="159"/>
      <c r="P91" s="110"/>
      <c r="Q91" s="49"/>
      <c r="R91" s="29"/>
      <c r="S91" s="29"/>
    </row>
    <row r="92" spans="1:19" s="461" customFormat="1" ht="54">
      <c r="A92" s="588">
        <v>86</v>
      </c>
      <c r="B92" s="354" t="s">
        <v>75</v>
      </c>
      <c r="C92" s="354"/>
      <c r="D92" s="717" t="s">
        <v>59</v>
      </c>
      <c r="E92" s="741" t="s">
        <v>430</v>
      </c>
      <c r="F92" s="37">
        <v>18919</v>
      </c>
      <c r="G92" s="718" t="s">
        <v>23</v>
      </c>
      <c r="H92" s="22" t="s">
        <v>58</v>
      </c>
      <c r="I92" s="718">
        <v>1399</v>
      </c>
      <c r="J92" s="22" t="s">
        <v>25</v>
      </c>
      <c r="K92" s="24">
        <v>1</v>
      </c>
      <c r="L92" s="482"/>
      <c r="M92" s="27" t="s">
        <v>71</v>
      </c>
      <c r="N92" s="159"/>
      <c r="O92" s="159"/>
      <c r="P92" s="110"/>
      <c r="Q92" s="49"/>
      <c r="R92" s="29"/>
      <c r="S92" s="29"/>
    </row>
    <row r="93" spans="1:19" s="461" customFormat="1" ht="42" customHeight="1">
      <c r="A93" s="179">
        <v>87</v>
      </c>
      <c r="B93" s="354" t="s">
        <v>75</v>
      </c>
      <c r="C93" s="354"/>
      <c r="D93" s="717" t="s">
        <v>59</v>
      </c>
      <c r="E93" s="741" t="s">
        <v>453</v>
      </c>
      <c r="F93" s="37">
        <v>23955</v>
      </c>
      <c r="G93" s="718" t="s">
        <v>23</v>
      </c>
      <c r="H93" s="22" t="s">
        <v>58</v>
      </c>
      <c r="I93" s="718">
        <v>1399</v>
      </c>
      <c r="J93" s="22" t="s">
        <v>25</v>
      </c>
      <c r="K93" s="24">
        <v>1</v>
      </c>
      <c r="L93" s="482"/>
      <c r="M93" s="27" t="s">
        <v>71</v>
      </c>
      <c r="N93" s="159"/>
      <c r="O93" s="159"/>
      <c r="P93" s="110"/>
      <c r="Q93" s="49"/>
      <c r="R93" s="29"/>
      <c r="S93" s="29"/>
    </row>
    <row r="94" spans="1:19" s="461" customFormat="1" ht="63.75" customHeight="1">
      <c r="A94" s="588">
        <v>88</v>
      </c>
      <c r="B94" s="354" t="s">
        <v>75</v>
      </c>
      <c r="C94" s="354"/>
      <c r="D94" s="717" t="s">
        <v>59</v>
      </c>
      <c r="E94" s="741" t="s">
        <v>60</v>
      </c>
      <c r="F94" s="37">
        <v>138600</v>
      </c>
      <c r="G94" s="718" t="s">
        <v>23</v>
      </c>
      <c r="H94" s="22" t="s">
        <v>58</v>
      </c>
      <c r="I94" s="718">
        <v>1399</v>
      </c>
      <c r="J94" s="22" t="s">
        <v>25</v>
      </c>
      <c r="K94" s="24" t="s">
        <v>17</v>
      </c>
      <c r="L94" s="27" t="s">
        <v>35</v>
      </c>
      <c r="M94" s="27"/>
      <c r="N94" s="22" t="s">
        <v>1122</v>
      </c>
      <c r="O94" s="22" t="s">
        <v>1123</v>
      </c>
      <c r="P94" s="110"/>
      <c r="Q94" s="49"/>
      <c r="R94" s="29"/>
      <c r="S94" s="29"/>
    </row>
    <row r="95" spans="1:19" s="461" customFormat="1" ht="54">
      <c r="A95" s="179">
        <v>89</v>
      </c>
      <c r="B95" s="354" t="s">
        <v>75</v>
      </c>
      <c r="C95" s="354"/>
      <c r="D95" s="717" t="s">
        <v>59</v>
      </c>
      <c r="E95" s="33" t="s">
        <v>61</v>
      </c>
      <c r="F95" s="37">
        <v>18480</v>
      </c>
      <c r="G95" s="718" t="s">
        <v>23</v>
      </c>
      <c r="H95" s="22" t="s">
        <v>58</v>
      </c>
      <c r="I95" s="718">
        <v>1399</v>
      </c>
      <c r="J95" s="22" t="s">
        <v>25</v>
      </c>
      <c r="K95" s="131">
        <v>1</v>
      </c>
      <c r="L95" s="482"/>
      <c r="M95" s="742" t="s">
        <v>71</v>
      </c>
      <c r="N95" s="743"/>
      <c r="O95" s="159"/>
      <c r="P95" s="110"/>
      <c r="Q95" s="50"/>
      <c r="R95" s="29"/>
      <c r="S95" s="29"/>
    </row>
    <row r="96" spans="1:19" s="461" customFormat="1" ht="54">
      <c r="A96" s="588">
        <v>90</v>
      </c>
      <c r="B96" s="354" t="s">
        <v>75</v>
      </c>
      <c r="C96" s="354"/>
      <c r="D96" s="717" t="s">
        <v>59</v>
      </c>
      <c r="E96" s="33" t="s">
        <v>429</v>
      </c>
      <c r="F96" s="37">
        <v>713513</v>
      </c>
      <c r="G96" s="718" t="s">
        <v>23</v>
      </c>
      <c r="H96" s="22" t="s">
        <v>58</v>
      </c>
      <c r="I96" s="718">
        <v>1399</v>
      </c>
      <c r="J96" s="22" t="s">
        <v>25</v>
      </c>
      <c r="K96" s="131">
        <v>1</v>
      </c>
      <c r="L96" s="482"/>
      <c r="M96" s="742" t="s">
        <v>71</v>
      </c>
      <c r="N96" s="744"/>
      <c r="O96" s="159"/>
      <c r="P96" s="110"/>
      <c r="Q96" s="50"/>
      <c r="R96" s="29"/>
      <c r="S96" s="29"/>
    </row>
    <row r="97" spans="1:19" s="461" customFormat="1" ht="54">
      <c r="A97" s="179">
        <v>91</v>
      </c>
      <c r="B97" s="354" t="s">
        <v>75</v>
      </c>
      <c r="C97" s="354"/>
      <c r="D97" s="717" t="s">
        <v>59</v>
      </c>
      <c r="E97" s="635" t="s">
        <v>1187</v>
      </c>
      <c r="F97" s="37">
        <v>470501</v>
      </c>
      <c r="G97" s="718" t="s">
        <v>23</v>
      </c>
      <c r="H97" s="22" t="s">
        <v>58</v>
      </c>
      <c r="I97" s="718">
        <v>1399</v>
      </c>
      <c r="J97" s="22" t="s">
        <v>25</v>
      </c>
      <c r="K97" s="24"/>
      <c r="L97" s="482" t="s">
        <v>35</v>
      </c>
      <c r="M97" s="159"/>
      <c r="N97" s="679" t="s">
        <v>1952</v>
      </c>
      <c r="O97" s="159" t="s">
        <v>1953</v>
      </c>
      <c r="P97" s="110"/>
      <c r="Q97" s="51"/>
      <c r="R97" s="29"/>
      <c r="S97" s="29"/>
    </row>
    <row r="98" spans="1:19" s="461" customFormat="1" ht="54">
      <c r="A98" s="588">
        <v>92</v>
      </c>
      <c r="B98" s="354" t="s">
        <v>75</v>
      </c>
      <c r="C98" s="354"/>
      <c r="D98" s="717" t="s">
        <v>59</v>
      </c>
      <c r="E98" s="635" t="s">
        <v>428</v>
      </c>
      <c r="F98" s="37">
        <v>133980</v>
      </c>
      <c r="G98" s="718" t="s">
        <v>23</v>
      </c>
      <c r="H98" s="22" t="s">
        <v>58</v>
      </c>
      <c r="I98" s="718">
        <v>1399</v>
      </c>
      <c r="J98" s="22" t="s">
        <v>25</v>
      </c>
      <c r="K98" s="24" t="s">
        <v>17</v>
      </c>
      <c r="L98" s="44" t="s">
        <v>35</v>
      </c>
      <c r="M98" s="159"/>
      <c r="N98" s="679" t="s">
        <v>1952</v>
      </c>
      <c r="O98" s="159" t="s">
        <v>1953</v>
      </c>
      <c r="P98" s="110"/>
      <c r="Q98" s="51"/>
      <c r="R98" s="29"/>
      <c r="S98" s="29"/>
    </row>
    <row r="99" spans="1:19" s="461" customFormat="1" ht="54">
      <c r="A99" s="179">
        <v>93</v>
      </c>
      <c r="B99" s="354" t="s">
        <v>75</v>
      </c>
      <c r="C99" s="354"/>
      <c r="D99" s="717" t="s">
        <v>59</v>
      </c>
      <c r="E99" s="635" t="s">
        <v>1189</v>
      </c>
      <c r="F99" s="37">
        <v>5084</v>
      </c>
      <c r="G99" s="718" t="s">
        <v>23</v>
      </c>
      <c r="H99" s="22" t="s">
        <v>58</v>
      </c>
      <c r="I99" s="718">
        <v>1399</v>
      </c>
      <c r="J99" s="22" t="s">
        <v>25</v>
      </c>
      <c r="K99" s="24" t="s">
        <v>17</v>
      </c>
      <c r="L99" s="44" t="s">
        <v>35</v>
      </c>
      <c r="M99" s="159"/>
      <c r="N99" s="679" t="s">
        <v>1952</v>
      </c>
      <c r="O99" s="159" t="s">
        <v>1953</v>
      </c>
      <c r="P99" s="110"/>
      <c r="Q99" s="51"/>
      <c r="R99" s="29"/>
      <c r="S99" s="29"/>
    </row>
    <row r="100" spans="1:19" s="461" customFormat="1" ht="54">
      <c r="A100" s="588">
        <v>94</v>
      </c>
      <c r="B100" s="354" t="s">
        <v>75</v>
      </c>
      <c r="C100" s="354"/>
      <c r="D100" s="717" t="s">
        <v>59</v>
      </c>
      <c r="E100" s="635" t="s">
        <v>426</v>
      </c>
      <c r="F100" s="37">
        <v>4620</v>
      </c>
      <c r="G100" s="718" t="s">
        <v>23</v>
      </c>
      <c r="H100" s="22" t="s">
        <v>58</v>
      </c>
      <c r="I100" s="718">
        <v>1399</v>
      </c>
      <c r="J100" s="22" t="s">
        <v>25</v>
      </c>
      <c r="K100" s="24" t="s">
        <v>17</v>
      </c>
      <c r="L100" s="44" t="s">
        <v>35</v>
      </c>
      <c r="M100" s="159"/>
      <c r="N100" s="679" t="s">
        <v>1952</v>
      </c>
      <c r="O100" s="159" t="s">
        <v>1953</v>
      </c>
      <c r="P100" s="110"/>
      <c r="Q100" s="51"/>
      <c r="R100" s="29"/>
      <c r="S100" s="29"/>
    </row>
    <row r="101" spans="1:19" s="461" customFormat="1" ht="54">
      <c r="A101" s="179">
        <v>95</v>
      </c>
      <c r="B101" s="354" t="s">
        <v>75</v>
      </c>
      <c r="C101" s="354"/>
      <c r="D101" s="717" t="s">
        <v>59</v>
      </c>
      <c r="E101" s="635" t="s">
        <v>425</v>
      </c>
      <c r="F101" s="37">
        <v>1109188</v>
      </c>
      <c r="G101" s="718" t="s">
        <v>23</v>
      </c>
      <c r="H101" s="22" t="s">
        <v>58</v>
      </c>
      <c r="I101" s="718">
        <v>1399</v>
      </c>
      <c r="J101" s="22" t="s">
        <v>25</v>
      </c>
      <c r="K101" s="24">
        <v>1</v>
      </c>
      <c r="L101" s="482"/>
      <c r="M101" s="27" t="s">
        <v>71</v>
      </c>
      <c r="N101" s="159"/>
      <c r="O101" s="159"/>
      <c r="P101" s="110"/>
      <c r="Q101" s="51"/>
      <c r="R101" s="29"/>
      <c r="S101" s="29"/>
    </row>
    <row r="102" spans="1:19" s="461" customFormat="1" ht="54">
      <c r="A102" s="588">
        <v>96</v>
      </c>
      <c r="B102" s="354" t="s">
        <v>75</v>
      </c>
      <c r="C102" s="354"/>
      <c r="D102" s="717" t="s">
        <v>59</v>
      </c>
      <c r="E102" s="635" t="s">
        <v>424</v>
      </c>
      <c r="F102" s="37">
        <v>3407647</v>
      </c>
      <c r="G102" s="718" t="s">
        <v>23</v>
      </c>
      <c r="H102" s="22" t="s">
        <v>58</v>
      </c>
      <c r="I102" s="718">
        <v>1399</v>
      </c>
      <c r="J102" s="22" t="s">
        <v>25</v>
      </c>
      <c r="K102" s="24">
        <v>1</v>
      </c>
      <c r="L102" s="482"/>
      <c r="M102" s="27" t="s">
        <v>71</v>
      </c>
      <c r="N102" s="159"/>
      <c r="O102" s="159"/>
      <c r="P102" s="110"/>
      <c r="Q102" s="51"/>
      <c r="R102" s="29"/>
      <c r="S102" s="29"/>
    </row>
    <row r="103" spans="1:19" s="461" customFormat="1" ht="54">
      <c r="A103" s="179">
        <v>97</v>
      </c>
      <c r="B103" s="354" t="s">
        <v>75</v>
      </c>
      <c r="C103" s="354"/>
      <c r="D103" s="717" t="s">
        <v>59</v>
      </c>
      <c r="E103" s="635" t="s">
        <v>423</v>
      </c>
      <c r="F103" s="37">
        <v>369600</v>
      </c>
      <c r="G103" s="718" t="s">
        <v>23</v>
      </c>
      <c r="H103" s="22" t="s">
        <v>58</v>
      </c>
      <c r="I103" s="718">
        <v>1399</v>
      </c>
      <c r="J103" s="22" t="s">
        <v>25</v>
      </c>
      <c r="K103" s="24">
        <v>1</v>
      </c>
      <c r="L103" s="482"/>
      <c r="M103" s="27" t="s">
        <v>71</v>
      </c>
      <c r="N103" s="159"/>
      <c r="O103" s="159"/>
      <c r="P103" s="110"/>
      <c r="Q103" s="51"/>
      <c r="R103" s="29"/>
      <c r="S103" s="29"/>
    </row>
    <row r="104" spans="1:19" s="461" customFormat="1" ht="54">
      <c r="A104" s="588">
        <v>98</v>
      </c>
      <c r="B104" s="354" t="s">
        <v>75</v>
      </c>
      <c r="C104" s="354"/>
      <c r="D104" s="717" t="s">
        <v>59</v>
      </c>
      <c r="E104" s="635" t="s">
        <v>422</v>
      </c>
      <c r="F104" s="37">
        <v>1383727</v>
      </c>
      <c r="G104" s="718" t="s">
        <v>23</v>
      </c>
      <c r="H104" s="22" t="s">
        <v>58</v>
      </c>
      <c r="I104" s="718">
        <v>1399</v>
      </c>
      <c r="J104" s="22" t="s">
        <v>25</v>
      </c>
      <c r="K104" s="24" t="s">
        <v>17</v>
      </c>
      <c r="L104" s="44" t="s">
        <v>35</v>
      </c>
      <c r="M104" s="159"/>
      <c r="N104" s="22" t="s">
        <v>1885</v>
      </c>
      <c r="O104" s="159"/>
      <c r="P104" s="110"/>
      <c r="Q104" s="51"/>
      <c r="R104" s="29"/>
      <c r="S104" s="29"/>
    </row>
    <row r="105" spans="1:19" s="461" customFormat="1" ht="54">
      <c r="A105" s="179">
        <v>99</v>
      </c>
      <c r="B105" s="354" t="s">
        <v>75</v>
      </c>
      <c r="C105" s="354"/>
      <c r="D105" s="717" t="s">
        <v>59</v>
      </c>
      <c r="E105" s="635" t="s">
        <v>421</v>
      </c>
      <c r="F105" s="37">
        <v>1460290</v>
      </c>
      <c r="G105" s="718" t="s">
        <v>23</v>
      </c>
      <c r="H105" s="22" t="s">
        <v>58</v>
      </c>
      <c r="I105" s="718">
        <v>1399</v>
      </c>
      <c r="J105" s="22" t="s">
        <v>25</v>
      </c>
      <c r="K105" s="24">
        <v>1</v>
      </c>
      <c r="L105" s="159"/>
      <c r="M105" s="27" t="s">
        <v>71</v>
      </c>
      <c r="N105" s="159"/>
      <c r="O105" s="159"/>
      <c r="P105" s="110"/>
      <c r="Q105" s="51"/>
      <c r="R105" s="29"/>
      <c r="S105" s="29"/>
    </row>
    <row r="106" spans="1:19" s="461" customFormat="1" ht="54">
      <c r="A106" s="588">
        <v>100</v>
      </c>
      <c r="B106" s="354" t="s">
        <v>75</v>
      </c>
      <c r="C106" s="354"/>
      <c r="D106" s="717" t="s">
        <v>59</v>
      </c>
      <c r="E106" s="635" t="s">
        <v>451</v>
      </c>
      <c r="F106" s="37">
        <v>492492</v>
      </c>
      <c r="G106" s="718" t="s">
        <v>23</v>
      </c>
      <c r="H106" s="22" t="s">
        <v>58</v>
      </c>
      <c r="I106" s="718">
        <v>1399</v>
      </c>
      <c r="J106" s="22" t="s">
        <v>25</v>
      </c>
      <c r="K106" s="24" t="s">
        <v>17</v>
      </c>
      <c r="L106" s="482" t="s">
        <v>35</v>
      </c>
      <c r="M106" s="27"/>
      <c r="N106" s="679" t="s">
        <v>1952</v>
      </c>
      <c r="O106" s="159" t="s">
        <v>1953</v>
      </c>
      <c r="P106" s="110"/>
      <c r="Q106" s="51"/>
      <c r="R106" s="29"/>
      <c r="S106" s="29"/>
    </row>
    <row r="107" spans="1:19" s="461" customFormat="1" ht="54">
      <c r="A107" s="179">
        <v>101</v>
      </c>
      <c r="B107" s="354" t="s">
        <v>75</v>
      </c>
      <c r="C107" s="354"/>
      <c r="D107" s="717" t="s">
        <v>59</v>
      </c>
      <c r="E107" s="635" t="s">
        <v>62</v>
      </c>
      <c r="F107" s="37">
        <v>2053333</v>
      </c>
      <c r="G107" s="718" t="s">
        <v>23</v>
      </c>
      <c r="H107" s="22" t="s">
        <v>58</v>
      </c>
      <c r="I107" s="718">
        <v>1399</v>
      </c>
      <c r="J107" s="22" t="s">
        <v>25</v>
      </c>
      <c r="K107" s="24">
        <v>0.05</v>
      </c>
      <c r="L107" s="482"/>
      <c r="M107" s="27" t="s">
        <v>42</v>
      </c>
      <c r="N107" s="159"/>
      <c r="O107" s="159"/>
      <c r="P107" s="110"/>
      <c r="Q107" s="51"/>
      <c r="R107" s="29"/>
      <c r="S107" s="29"/>
    </row>
    <row r="108" spans="1:19" s="461" customFormat="1" ht="54">
      <c r="A108" s="588">
        <v>102</v>
      </c>
      <c r="B108" s="354" t="s">
        <v>75</v>
      </c>
      <c r="C108" s="354"/>
      <c r="D108" s="717" t="s">
        <v>59</v>
      </c>
      <c r="E108" s="635" t="s">
        <v>420</v>
      </c>
      <c r="F108" s="37">
        <v>929310</v>
      </c>
      <c r="G108" s="718" t="s">
        <v>23</v>
      </c>
      <c r="H108" s="22" t="s">
        <v>58</v>
      </c>
      <c r="I108" s="718">
        <v>1399</v>
      </c>
      <c r="J108" s="22" t="s">
        <v>25</v>
      </c>
      <c r="K108" s="24">
        <v>0.05</v>
      </c>
      <c r="L108" s="482"/>
      <c r="M108" s="27" t="s">
        <v>42</v>
      </c>
      <c r="N108" s="159"/>
      <c r="O108" s="159"/>
      <c r="P108" s="110"/>
      <c r="Q108" s="51"/>
      <c r="R108" s="29"/>
      <c r="S108" s="29"/>
    </row>
    <row r="109" spans="1:19" s="461" customFormat="1" ht="54">
      <c r="A109" s="179">
        <v>103</v>
      </c>
      <c r="B109" s="354" t="s">
        <v>75</v>
      </c>
      <c r="C109" s="354"/>
      <c r="D109" s="717" t="s">
        <v>59</v>
      </c>
      <c r="E109" s="635" t="s">
        <v>63</v>
      </c>
      <c r="F109" s="37">
        <v>1540000</v>
      </c>
      <c r="G109" s="718" t="s">
        <v>23</v>
      </c>
      <c r="H109" s="22" t="s">
        <v>58</v>
      </c>
      <c r="I109" s="718">
        <v>1399</v>
      </c>
      <c r="J109" s="22" t="s">
        <v>25</v>
      </c>
      <c r="K109" s="24">
        <v>0.05</v>
      </c>
      <c r="L109" s="482"/>
      <c r="M109" s="27" t="s">
        <v>42</v>
      </c>
      <c r="N109" s="159"/>
      <c r="O109" s="159"/>
      <c r="P109" s="110"/>
      <c r="Q109" s="51"/>
      <c r="R109" s="29"/>
      <c r="S109" s="29"/>
    </row>
    <row r="110" spans="1:19" s="461" customFormat="1" ht="54">
      <c r="A110" s="588">
        <v>104</v>
      </c>
      <c r="B110" s="354" t="s">
        <v>75</v>
      </c>
      <c r="C110" s="354"/>
      <c r="D110" s="717" t="s">
        <v>59</v>
      </c>
      <c r="E110" s="635" t="s">
        <v>1190</v>
      </c>
      <c r="F110" s="37">
        <v>15825500</v>
      </c>
      <c r="G110" s="718" t="s">
        <v>23</v>
      </c>
      <c r="H110" s="22" t="s">
        <v>58</v>
      </c>
      <c r="I110" s="718">
        <v>1399</v>
      </c>
      <c r="J110" s="22" t="s">
        <v>25</v>
      </c>
      <c r="K110" s="24" t="s">
        <v>17</v>
      </c>
      <c r="L110" s="105" t="s">
        <v>35</v>
      </c>
      <c r="M110" s="105"/>
      <c r="N110" s="718" t="s">
        <v>1188</v>
      </c>
      <c r="O110" s="105" t="s">
        <v>1123</v>
      </c>
      <c r="P110" s="110"/>
      <c r="Q110" s="51"/>
      <c r="R110" s="29"/>
      <c r="S110" s="29"/>
    </row>
    <row r="111" spans="1:19" s="461" customFormat="1" ht="54">
      <c r="A111" s="179">
        <v>105</v>
      </c>
      <c r="B111" s="354" t="s">
        <v>75</v>
      </c>
      <c r="C111" s="354"/>
      <c r="D111" s="717" t="s">
        <v>59</v>
      </c>
      <c r="E111" s="635" t="s">
        <v>64</v>
      </c>
      <c r="F111" s="37">
        <v>2640000</v>
      </c>
      <c r="G111" s="718" t="s">
        <v>23</v>
      </c>
      <c r="H111" s="22" t="s">
        <v>58</v>
      </c>
      <c r="I111" s="718">
        <v>1399</v>
      </c>
      <c r="J111" s="22" t="s">
        <v>25</v>
      </c>
      <c r="K111" s="105" t="s">
        <v>17</v>
      </c>
      <c r="L111" s="482" t="s">
        <v>35</v>
      </c>
      <c r="M111" s="105"/>
      <c r="N111" s="718" t="s">
        <v>1954</v>
      </c>
      <c r="O111" s="718" t="s">
        <v>1946</v>
      </c>
      <c r="P111" s="110"/>
      <c r="Q111" s="51"/>
      <c r="R111" s="29"/>
      <c r="S111" s="29"/>
    </row>
    <row r="112" spans="1:19" s="461" customFormat="1" ht="54">
      <c r="A112" s="588">
        <v>106</v>
      </c>
      <c r="B112" s="354" t="s">
        <v>75</v>
      </c>
      <c r="C112" s="354"/>
      <c r="D112" s="717" t="s">
        <v>59</v>
      </c>
      <c r="E112" s="635" t="s">
        <v>65</v>
      </c>
      <c r="F112" s="37">
        <v>7150000</v>
      </c>
      <c r="G112" s="718" t="s">
        <v>23</v>
      </c>
      <c r="H112" s="22" t="s">
        <v>58</v>
      </c>
      <c r="I112" s="718">
        <v>1399</v>
      </c>
      <c r="J112" s="22" t="s">
        <v>25</v>
      </c>
      <c r="K112" s="24">
        <v>1</v>
      </c>
      <c r="L112" s="482"/>
      <c r="M112" s="27" t="s">
        <v>71</v>
      </c>
      <c r="N112" s="159"/>
      <c r="O112" s="159"/>
      <c r="P112" s="110"/>
      <c r="Q112" s="51"/>
      <c r="R112" s="29"/>
      <c r="S112" s="29"/>
    </row>
    <row r="113" spans="1:19" s="461" customFormat="1" ht="54">
      <c r="A113" s="179">
        <v>107</v>
      </c>
      <c r="B113" s="354" t="s">
        <v>75</v>
      </c>
      <c r="C113" s="354"/>
      <c r="D113" s="717" t="s">
        <v>59</v>
      </c>
      <c r="E113" s="635" t="s">
        <v>419</v>
      </c>
      <c r="F113" s="37">
        <v>11370198</v>
      </c>
      <c r="G113" s="718" t="s">
        <v>23</v>
      </c>
      <c r="H113" s="22" t="s">
        <v>58</v>
      </c>
      <c r="I113" s="718">
        <v>1399</v>
      </c>
      <c r="J113" s="22" t="s">
        <v>25</v>
      </c>
      <c r="K113" s="24">
        <v>0.05</v>
      </c>
      <c r="L113" s="482"/>
      <c r="M113" s="27" t="s">
        <v>42</v>
      </c>
      <c r="N113" s="159"/>
      <c r="O113" s="159"/>
      <c r="P113" s="110"/>
      <c r="Q113" s="51"/>
      <c r="R113" s="29"/>
      <c r="S113" s="29"/>
    </row>
    <row r="114" spans="1:19" s="461" customFormat="1" ht="54">
      <c r="A114" s="588">
        <v>108</v>
      </c>
      <c r="B114" s="354" t="s">
        <v>75</v>
      </c>
      <c r="C114" s="354"/>
      <c r="D114" s="717" t="s">
        <v>59</v>
      </c>
      <c r="E114" s="635" t="s">
        <v>66</v>
      </c>
      <c r="F114" s="37">
        <v>1348270</v>
      </c>
      <c r="G114" s="718" t="s">
        <v>23</v>
      </c>
      <c r="H114" s="22" t="s">
        <v>58</v>
      </c>
      <c r="I114" s="718">
        <v>1399</v>
      </c>
      <c r="J114" s="22" t="s">
        <v>25</v>
      </c>
      <c r="K114" s="24">
        <v>1</v>
      </c>
      <c r="L114" s="482"/>
      <c r="M114" s="27" t="s">
        <v>71</v>
      </c>
      <c r="N114" s="159"/>
      <c r="O114" s="159"/>
      <c r="P114" s="110"/>
      <c r="Q114" s="51"/>
      <c r="R114" s="29"/>
      <c r="S114" s="29"/>
    </row>
    <row r="115" spans="1:19" s="559" customFormat="1" ht="71.45" customHeight="1">
      <c r="A115" s="179">
        <v>109</v>
      </c>
      <c r="B115" s="354" t="s">
        <v>75</v>
      </c>
      <c r="C115" s="354"/>
      <c r="D115" s="236" t="s">
        <v>73</v>
      </c>
      <c r="E115" s="231" t="s">
        <v>74</v>
      </c>
      <c r="F115" s="37">
        <v>515321.23800000001</v>
      </c>
      <c r="G115" s="561" t="s">
        <v>23</v>
      </c>
      <c r="H115" s="22" t="s">
        <v>77</v>
      </c>
      <c r="I115" s="561">
        <v>1399</v>
      </c>
      <c r="J115" s="22" t="s">
        <v>25</v>
      </c>
      <c r="K115" s="265"/>
      <c r="L115" s="182" t="s">
        <v>72</v>
      </c>
      <c r="M115" s="237"/>
      <c r="N115" s="623" t="s">
        <v>581</v>
      </c>
      <c r="O115" s="236" t="s">
        <v>1833</v>
      </c>
      <c r="P115" s="560"/>
    </row>
    <row r="116" spans="1:19" s="559" customFormat="1" ht="61.5" customHeight="1">
      <c r="A116" s="588">
        <v>110</v>
      </c>
      <c r="B116" s="354" t="s">
        <v>75</v>
      </c>
      <c r="C116" s="354"/>
      <c r="D116" s="236" t="s">
        <v>73</v>
      </c>
      <c r="E116" s="231" t="s">
        <v>97</v>
      </c>
      <c r="F116" s="37">
        <v>1282840</v>
      </c>
      <c r="G116" s="561" t="s">
        <v>23</v>
      </c>
      <c r="H116" s="22" t="s">
        <v>77</v>
      </c>
      <c r="I116" s="561">
        <v>1399</v>
      </c>
      <c r="J116" s="22" t="s">
        <v>25</v>
      </c>
      <c r="K116" s="265"/>
      <c r="L116" s="182" t="s">
        <v>72</v>
      </c>
      <c r="M116" s="237"/>
      <c r="N116" s="623" t="s">
        <v>581</v>
      </c>
      <c r="O116" s="236" t="s">
        <v>1833</v>
      </c>
      <c r="P116" s="560"/>
    </row>
  </sheetData>
  <autoFilter ref="D1:D44"/>
  <mergeCells count="27">
    <mergeCell ref="F58:F63"/>
    <mergeCell ref="C75:C76"/>
    <mergeCell ref="C77:C78"/>
    <mergeCell ref="C79:C82"/>
    <mergeCell ref="C83:C84"/>
    <mergeCell ref="P19:P20"/>
    <mergeCell ref="P34:P35"/>
    <mergeCell ref="P37:P38"/>
    <mergeCell ref="P41:P43"/>
    <mergeCell ref="P23:P24"/>
    <mergeCell ref="P26:P27"/>
    <mergeCell ref="P28:P29"/>
    <mergeCell ref="P31:P33"/>
    <mergeCell ref="A1:P4"/>
    <mergeCell ref="A5:A6"/>
    <mergeCell ref="B5:B6"/>
    <mergeCell ref="C5:C6"/>
    <mergeCell ref="D5:D6"/>
    <mergeCell ref="E5:E6"/>
    <mergeCell ref="F5:H5"/>
    <mergeCell ref="I5:I6"/>
    <mergeCell ref="J5:J6"/>
    <mergeCell ref="K5:K6"/>
    <mergeCell ref="L5:M5"/>
    <mergeCell ref="N5:N6"/>
    <mergeCell ref="O5:O6"/>
    <mergeCell ref="P5:P6"/>
  </mergeCells>
  <printOptions horizontalCentered="1"/>
  <pageMargins left="0.2" right="0.2" top="0.5" bottom="0.5" header="0.3" footer="0.3"/>
  <pageSetup paperSize="9" scale="57"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sheetPr>
    <tabColor rgb="FF92D050"/>
  </sheetPr>
  <dimension ref="A1:AI71"/>
  <sheetViews>
    <sheetView rightToLeft="1" topLeftCell="D1" zoomScale="86" zoomScaleNormal="86" zoomScaleSheetLayoutView="70" workbookViewId="0">
      <pane ySplit="6" topLeftCell="A67" activePane="bottomLeft" state="frozen"/>
      <selection pane="bottomLeft" activeCell="D73" sqref="D73"/>
    </sheetView>
  </sheetViews>
  <sheetFormatPr defaultColWidth="9.140625" defaultRowHeight="15"/>
  <cols>
    <col min="1" max="1" width="8.5703125" style="1" customWidth="1"/>
    <col min="2" max="2" width="20.140625" style="10" customWidth="1"/>
    <col min="3" max="3" width="10.28515625" style="10" customWidth="1"/>
    <col min="4" max="4" width="18.5703125" style="10" customWidth="1"/>
    <col min="5" max="5" width="43.5703125" style="10" customWidth="1"/>
    <col min="6" max="6" width="13.28515625" style="2" customWidth="1"/>
    <col min="7" max="7" width="10.28515625" style="2" customWidth="1"/>
    <col min="8" max="8" width="16.42578125" style="2" customWidth="1"/>
    <col min="9" max="9" width="11.7109375" style="1" customWidth="1"/>
    <col min="10" max="10" width="26" style="1" customWidth="1"/>
    <col min="11" max="11" width="12" style="1" customWidth="1"/>
    <col min="12" max="12" width="14" style="145" customWidth="1"/>
    <col min="13" max="13" width="18.5703125" style="11" customWidth="1"/>
    <col min="14" max="14" width="24" style="11" customWidth="1"/>
    <col min="15" max="15" width="21.5703125" style="11" customWidth="1"/>
    <col min="16" max="16" width="16.7109375" style="145" customWidth="1"/>
    <col min="17" max="16384" width="9.140625" style="145"/>
  </cols>
  <sheetData>
    <row r="1" spans="1:16" ht="18" customHeight="1">
      <c r="A1" s="788" t="s">
        <v>1958</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44.25"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791" t="s">
        <v>8</v>
      </c>
    </row>
    <row r="6" spans="1:16" ht="44.25" customHeight="1">
      <c r="A6" s="791"/>
      <c r="B6" s="791"/>
      <c r="C6" s="791"/>
      <c r="D6" s="791"/>
      <c r="E6" s="791"/>
      <c r="F6" s="146" t="s">
        <v>10</v>
      </c>
      <c r="G6" s="146" t="s">
        <v>11</v>
      </c>
      <c r="H6" s="146" t="s">
        <v>12</v>
      </c>
      <c r="I6" s="791"/>
      <c r="J6" s="791"/>
      <c r="K6" s="791"/>
      <c r="L6" s="146" t="s">
        <v>3</v>
      </c>
      <c r="M6" s="146" t="s">
        <v>4</v>
      </c>
      <c r="N6" s="791"/>
      <c r="O6" s="791"/>
      <c r="P6" s="791"/>
    </row>
    <row r="7" spans="1:16" s="5" customFormat="1" ht="48.6" customHeight="1">
      <c r="A7" s="354">
        <v>1</v>
      </c>
      <c r="B7" s="6" t="s">
        <v>75</v>
      </c>
      <c r="C7" s="6" t="s">
        <v>1618</v>
      </c>
      <c r="D7" s="579" t="s">
        <v>1619</v>
      </c>
      <c r="E7" s="597" t="s">
        <v>1620</v>
      </c>
      <c r="F7" s="177">
        <v>2220000</v>
      </c>
      <c r="G7" s="354" t="s">
        <v>23</v>
      </c>
      <c r="H7" s="354" t="s">
        <v>77</v>
      </c>
      <c r="I7" s="354">
        <v>1399</v>
      </c>
      <c r="J7" s="354" t="s">
        <v>25</v>
      </c>
      <c r="K7" s="97">
        <v>1</v>
      </c>
      <c r="L7" s="354"/>
      <c r="M7" s="43" t="s">
        <v>1856</v>
      </c>
      <c r="N7" s="43"/>
      <c r="O7" s="43"/>
      <c r="P7" s="354"/>
    </row>
    <row r="8" spans="1:16" s="5" customFormat="1" ht="48.6" customHeight="1">
      <c r="A8" s="354">
        <v>2</v>
      </c>
      <c r="B8" s="6" t="s">
        <v>75</v>
      </c>
      <c r="C8" s="6" t="s">
        <v>1618</v>
      </c>
      <c r="D8" s="579" t="s">
        <v>1619</v>
      </c>
      <c r="E8" s="597" t="s">
        <v>1621</v>
      </c>
      <c r="F8" s="177">
        <v>1110000</v>
      </c>
      <c r="G8" s="354" t="s">
        <v>23</v>
      </c>
      <c r="H8" s="354" t="s">
        <v>77</v>
      </c>
      <c r="I8" s="354">
        <v>1399</v>
      </c>
      <c r="J8" s="354" t="s">
        <v>25</v>
      </c>
      <c r="K8" s="97">
        <v>1</v>
      </c>
      <c r="L8" s="354"/>
      <c r="M8" s="43" t="s">
        <v>1856</v>
      </c>
      <c r="N8" s="43"/>
      <c r="O8" s="43"/>
      <c r="P8" s="354"/>
    </row>
    <row r="9" spans="1:16" s="5" customFormat="1" ht="67.150000000000006" customHeight="1">
      <c r="A9" s="354">
        <v>3</v>
      </c>
      <c r="B9" s="6" t="s">
        <v>75</v>
      </c>
      <c r="C9" s="6" t="s">
        <v>1618</v>
      </c>
      <c r="D9" s="579" t="s">
        <v>1619</v>
      </c>
      <c r="E9" s="597" t="s">
        <v>1622</v>
      </c>
      <c r="F9" s="177">
        <v>60000</v>
      </c>
      <c r="G9" s="354" t="s">
        <v>23</v>
      </c>
      <c r="H9" s="354" t="s">
        <v>77</v>
      </c>
      <c r="I9" s="354">
        <v>1399</v>
      </c>
      <c r="J9" s="354" t="s">
        <v>25</v>
      </c>
      <c r="K9" s="97">
        <v>1</v>
      </c>
      <c r="L9" s="354"/>
      <c r="M9" s="43" t="s">
        <v>1856</v>
      </c>
      <c r="N9" s="43"/>
      <c r="O9" s="43"/>
      <c r="P9" s="354"/>
    </row>
    <row r="10" spans="1:16" s="5" customFormat="1" ht="37.15" customHeight="1">
      <c r="A10" s="354">
        <v>4</v>
      </c>
      <c r="B10" s="6" t="s">
        <v>75</v>
      </c>
      <c r="C10" s="6" t="s">
        <v>1623</v>
      </c>
      <c r="D10" s="844" t="s">
        <v>1624</v>
      </c>
      <c r="E10" s="576" t="s">
        <v>1479</v>
      </c>
      <c r="F10" s="177">
        <v>269133.33333333337</v>
      </c>
      <c r="G10" s="354" t="s">
        <v>23</v>
      </c>
      <c r="H10" s="354" t="s">
        <v>77</v>
      </c>
      <c r="I10" s="354">
        <v>1399</v>
      </c>
      <c r="J10" s="354" t="s">
        <v>25</v>
      </c>
      <c r="K10" s="97">
        <v>1</v>
      </c>
      <c r="L10" s="354"/>
      <c r="M10" s="43" t="s">
        <v>1856</v>
      </c>
      <c r="N10" s="43"/>
      <c r="O10" s="43"/>
      <c r="P10" s="354"/>
    </row>
    <row r="11" spans="1:16" s="5" customFormat="1" ht="41.45" customHeight="1">
      <c r="A11" s="354">
        <v>5</v>
      </c>
      <c r="B11" s="6" t="s">
        <v>75</v>
      </c>
      <c r="C11" s="6" t="s">
        <v>1625</v>
      </c>
      <c r="D11" s="844"/>
      <c r="E11" s="579" t="s">
        <v>1626</v>
      </c>
      <c r="F11" s="177">
        <v>3460000</v>
      </c>
      <c r="G11" s="354" t="s">
        <v>23</v>
      </c>
      <c r="H11" s="354" t="s">
        <v>77</v>
      </c>
      <c r="I11" s="354">
        <v>1399</v>
      </c>
      <c r="J11" s="354" t="s">
        <v>25</v>
      </c>
      <c r="K11" s="97">
        <v>1</v>
      </c>
      <c r="L11" s="354"/>
      <c r="M11" s="43" t="s">
        <v>1856</v>
      </c>
      <c r="N11" s="43"/>
      <c r="O11" s="43"/>
      <c r="P11" s="354"/>
    </row>
    <row r="12" spans="1:16" s="5" customFormat="1" ht="50.45" customHeight="1">
      <c r="A12" s="354">
        <v>6</v>
      </c>
      <c r="B12" s="6" t="s">
        <v>75</v>
      </c>
      <c r="C12" s="6" t="s">
        <v>1627</v>
      </c>
      <c r="D12" s="579" t="s">
        <v>1605</v>
      </c>
      <c r="E12" s="579" t="s">
        <v>1606</v>
      </c>
      <c r="F12" s="177">
        <v>11220831</v>
      </c>
      <c r="G12" s="354" t="s">
        <v>23</v>
      </c>
      <c r="H12" s="354" t="s">
        <v>77</v>
      </c>
      <c r="I12" s="354">
        <v>1399</v>
      </c>
      <c r="J12" s="354" t="s">
        <v>25</v>
      </c>
      <c r="K12" s="97">
        <v>1</v>
      </c>
      <c r="L12" s="354"/>
      <c r="M12" s="43" t="s">
        <v>1856</v>
      </c>
      <c r="N12" s="43"/>
      <c r="O12" s="43"/>
      <c r="P12" s="354"/>
    </row>
    <row r="13" spans="1:16" ht="55.5" customHeight="1">
      <c r="A13" s="354">
        <v>7</v>
      </c>
      <c r="B13" s="6" t="s">
        <v>75</v>
      </c>
      <c r="C13" s="6"/>
      <c r="D13" s="152" t="s">
        <v>28</v>
      </c>
      <c r="E13" s="152" t="s">
        <v>157</v>
      </c>
      <c r="F13" s="177">
        <v>135000</v>
      </c>
      <c r="G13" s="83" t="s">
        <v>23</v>
      </c>
      <c r="H13" s="83" t="s">
        <v>77</v>
      </c>
      <c r="I13" s="83">
        <v>1399</v>
      </c>
      <c r="J13" s="83" t="s">
        <v>25</v>
      </c>
      <c r="K13" s="97">
        <v>1</v>
      </c>
      <c r="L13" s="82"/>
      <c r="M13" s="43" t="s">
        <v>1856</v>
      </c>
      <c r="N13" s="64"/>
      <c r="O13" s="64"/>
      <c r="P13" s="58"/>
    </row>
    <row r="14" spans="1:16" ht="80.25" customHeight="1">
      <c r="A14" s="354">
        <v>8</v>
      </c>
      <c r="B14" s="6" t="s">
        <v>75</v>
      </c>
      <c r="C14" s="6" t="s">
        <v>812</v>
      </c>
      <c r="D14" s="152" t="s">
        <v>28</v>
      </c>
      <c r="E14" s="65" t="s">
        <v>641</v>
      </c>
      <c r="F14" s="177">
        <v>8400000</v>
      </c>
      <c r="G14" s="83" t="s">
        <v>23</v>
      </c>
      <c r="H14" s="83" t="s">
        <v>77</v>
      </c>
      <c r="I14" s="83">
        <v>1399</v>
      </c>
      <c r="J14" s="83" t="s">
        <v>25</v>
      </c>
      <c r="K14" s="97">
        <v>1</v>
      </c>
      <c r="L14" s="152"/>
      <c r="M14" s="43" t="s">
        <v>1856</v>
      </c>
      <c r="N14" s="65"/>
      <c r="O14" s="152"/>
      <c r="P14" s="251" t="s">
        <v>17</v>
      </c>
    </row>
    <row r="15" spans="1:16" s="447" customFormat="1" ht="80.25" customHeight="1">
      <c r="A15" s="354">
        <v>9</v>
      </c>
      <c r="B15" s="6" t="s">
        <v>75</v>
      </c>
      <c r="C15" s="6" t="s">
        <v>812</v>
      </c>
      <c r="D15" s="448" t="s">
        <v>28</v>
      </c>
      <c r="E15" s="452" t="s">
        <v>978</v>
      </c>
      <c r="F15" s="177">
        <v>416800</v>
      </c>
      <c r="G15" s="354" t="s">
        <v>23</v>
      </c>
      <c r="H15" s="354" t="s">
        <v>77</v>
      </c>
      <c r="I15" s="354">
        <v>1399</v>
      </c>
      <c r="J15" s="354" t="s">
        <v>25</v>
      </c>
      <c r="K15" s="288">
        <v>1</v>
      </c>
      <c r="L15" s="448"/>
      <c r="M15" s="43" t="s">
        <v>1856</v>
      </c>
      <c r="N15" s="452"/>
      <c r="O15" s="448"/>
      <c r="P15" s="251"/>
    </row>
    <row r="16" spans="1:16" ht="84.75" customHeight="1">
      <c r="A16" s="354">
        <v>10</v>
      </c>
      <c r="B16" s="6" t="s">
        <v>75</v>
      </c>
      <c r="C16" s="306" t="s">
        <v>811</v>
      </c>
      <c r="D16" s="152" t="s">
        <v>28</v>
      </c>
      <c r="E16" s="65" t="s">
        <v>115</v>
      </c>
      <c r="F16" s="177">
        <v>62250</v>
      </c>
      <c r="G16" s="83" t="s">
        <v>23</v>
      </c>
      <c r="H16" s="83" t="s">
        <v>77</v>
      </c>
      <c r="I16" s="83">
        <v>1399</v>
      </c>
      <c r="J16" s="83" t="s">
        <v>25</v>
      </c>
      <c r="K16" s="288">
        <v>1</v>
      </c>
      <c r="L16" s="82"/>
      <c r="M16" s="43" t="s">
        <v>1856</v>
      </c>
      <c r="N16" s="64"/>
      <c r="O16" s="64"/>
      <c r="P16" s="260"/>
    </row>
    <row r="17" spans="1:18" ht="60" customHeight="1">
      <c r="A17" s="354">
        <v>11</v>
      </c>
      <c r="B17" s="6" t="s">
        <v>75</v>
      </c>
      <c r="C17" s="306" t="s">
        <v>810</v>
      </c>
      <c r="D17" s="152" t="s">
        <v>116</v>
      </c>
      <c r="E17" s="65" t="s">
        <v>22</v>
      </c>
      <c r="F17" s="177">
        <v>640000</v>
      </c>
      <c r="G17" s="83" t="s">
        <v>23</v>
      </c>
      <c r="H17" s="83" t="s">
        <v>77</v>
      </c>
      <c r="I17" s="83">
        <v>1399</v>
      </c>
      <c r="J17" s="83" t="s">
        <v>25</v>
      </c>
      <c r="K17" s="288">
        <v>1</v>
      </c>
      <c r="L17" s="82"/>
      <c r="M17" s="43" t="s">
        <v>1856</v>
      </c>
      <c r="N17" s="64"/>
      <c r="O17" s="64"/>
      <c r="P17" s="260"/>
    </row>
    <row r="18" spans="1:18" ht="65.45" customHeight="1">
      <c r="A18" s="354">
        <v>12</v>
      </c>
      <c r="B18" s="6" t="s">
        <v>75</v>
      </c>
      <c r="C18" s="306" t="s">
        <v>810</v>
      </c>
      <c r="D18" s="152" t="s">
        <v>116</v>
      </c>
      <c r="E18" s="65" t="s">
        <v>79</v>
      </c>
      <c r="F18" s="177">
        <v>37000</v>
      </c>
      <c r="G18" s="83" t="s">
        <v>23</v>
      </c>
      <c r="H18" s="83" t="s">
        <v>77</v>
      </c>
      <c r="I18" s="83">
        <v>1399</v>
      </c>
      <c r="J18" s="83" t="s">
        <v>25</v>
      </c>
      <c r="K18" s="288">
        <v>1</v>
      </c>
      <c r="L18" s="82"/>
      <c r="M18" s="43" t="s">
        <v>1856</v>
      </c>
      <c r="N18" s="64"/>
      <c r="O18" s="64"/>
      <c r="P18" s="260"/>
    </row>
    <row r="19" spans="1:18" ht="46.9" customHeight="1">
      <c r="A19" s="354">
        <v>13</v>
      </c>
      <c r="B19" s="6" t="s">
        <v>75</v>
      </c>
      <c r="C19" s="306" t="s">
        <v>790</v>
      </c>
      <c r="D19" s="152" t="s">
        <v>31</v>
      </c>
      <c r="E19" s="65" t="s">
        <v>120</v>
      </c>
      <c r="F19" s="177">
        <v>204540</v>
      </c>
      <c r="G19" s="83" t="s">
        <v>23</v>
      </c>
      <c r="H19" s="83" t="s">
        <v>77</v>
      </c>
      <c r="I19" s="83">
        <v>1399</v>
      </c>
      <c r="J19" s="83" t="s">
        <v>25</v>
      </c>
      <c r="K19" s="288">
        <v>1</v>
      </c>
      <c r="L19" s="218"/>
      <c r="M19" s="43" t="s">
        <v>1856</v>
      </c>
      <c r="N19" s="175"/>
      <c r="O19" s="43"/>
      <c r="P19" s="260"/>
    </row>
    <row r="20" spans="1:18" ht="65.25" customHeight="1">
      <c r="A20" s="354">
        <v>14</v>
      </c>
      <c r="B20" s="6" t="s">
        <v>75</v>
      </c>
      <c r="C20" s="306" t="s">
        <v>790</v>
      </c>
      <c r="D20" s="152" t="s">
        <v>31</v>
      </c>
      <c r="E20" s="65" t="s">
        <v>121</v>
      </c>
      <c r="F20" s="177">
        <v>162760</v>
      </c>
      <c r="G20" s="83" t="s">
        <v>23</v>
      </c>
      <c r="H20" s="83" t="s">
        <v>77</v>
      </c>
      <c r="I20" s="83">
        <v>1399</v>
      </c>
      <c r="J20" s="83" t="s">
        <v>25</v>
      </c>
      <c r="K20" s="288">
        <v>1</v>
      </c>
      <c r="L20" s="218"/>
      <c r="M20" s="43" t="s">
        <v>1856</v>
      </c>
      <c r="N20" s="175"/>
      <c r="O20" s="43"/>
      <c r="P20" s="260"/>
    </row>
    <row r="21" spans="1:18" ht="78" customHeight="1">
      <c r="A21" s="354">
        <v>15</v>
      </c>
      <c r="B21" s="6" t="s">
        <v>75</v>
      </c>
      <c r="C21" s="6" t="s">
        <v>184</v>
      </c>
      <c r="D21" s="164" t="s">
        <v>31</v>
      </c>
      <c r="E21" s="6" t="s">
        <v>809</v>
      </c>
      <c r="F21" s="162">
        <v>4000000</v>
      </c>
      <c r="G21" s="83" t="s">
        <v>23</v>
      </c>
      <c r="H21" s="83" t="s">
        <v>77</v>
      </c>
      <c r="I21" s="83">
        <v>1399</v>
      </c>
      <c r="J21" s="83" t="s">
        <v>25</v>
      </c>
      <c r="K21" s="288">
        <v>1</v>
      </c>
      <c r="L21" s="82"/>
      <c r="M21" s="43" t="s">
        <v>1856</v>
      </c>
      <c r="N21" s="64"/>
      <c r="O21" s="64"/>
      <c r="P21" s="260"/>
    </row>
    <row r="22" spans="1:18" ht="72" customHeight="1">
      <c r="A22" s="354">
        <v>16</v>
      </c>
      <c r="B22" s="6" t="s">
        <v>75</v>
      </c>
      <c r="C22" s="306" t="s">
        <v>790</v>
      </c>
      <c r="D22" s="65" t="s">
        <v>40</v>
      </c>
      <c r="E22" s="6" t="s">
        <v>208</v>
      </c>
      <c r="F22" s="177">
        <v>4642560</v>
      </c>
      <c r="G22" s="83" t="s">
        <v>23</v>
      </c>
      <c r="H22" s="83" t="s">
        <v>41</v>
      </c>
      <c r="I22" s="83">
        <v>1399</v>
      </c>
      <c r="J22" s="83" t="s">
        <v>25</v>
      </c>
      <c r="K22" s="288">
        <v>1</v>
      </c>
      <c r="L22" s="218"/>
      <c r="M22" s="43" t="s">
        <v>1856</v>
      </c>
      <c r="N22" s="175"/>
      <c r="O22" s="64"/>
      <c r="P22" s="260"/>
      <c r="Q22" s="29"/>
      <c r="R22" s="29"/>
    </row>
    <row r="23" spans="1:18" ht="69.599999999999994" customHeight="1">
      <c r="A23" s="354">
        <v>17</v>
      </c>
      <c r="B23" s="6" t="s">
        <v>75</v>
      </c>
      <c r="C23" s="306" t="s">
        <v>790</v>
      </c>
      <c r="D23" s="65" t="s">
        <v>40</v>
      </c>
      <c r="E23" s="6" t="s">
        <v>808</v>
      </c>
      <c r="F23" s="177">
        <v>186000</v>
      </c>
      <c r="G23" s="83" t="s">
        <v>23</v>
      </c>
      <c r="H23" s="83" t="s">
        <v>41</v>
      </c>
      <c r="I23" s="83">
        <v>1399</v>
      </c>
      <c r="J23" s="83" t="s">
        <v>25</v>
      </c>
      <c r="K23" s="288">
        <v>1</v>
      </c>
      <c r="L23" s="218" t="s">
        <v>1828</v>
      </c>
      <c r="M23" s="43" t="s">
        <v>1856</v>
      </c>
      <c r="N23" s="452" t="s">
        <v>325</v>
      </c>
      <c r="O23" s="22" t="s">
        <v>979</v>
      </c>
      <c r="P23" s="64"/>
      <c r="Q23" s="29"/>
      <c r="R23" s="29"/>
    </row>
    <row r="24" spans="1:18" ht="63.6" customHeight="1">
      <c r="A24" s="354">
        <v>18</v>
      </c>
      <c r="B24" s="6" t="s">
        <v>75</v>
      </c>
      <c r="C24" s="306" t="s">
        <v>790</v>
      </c>
      <c r="D24" s="65" t="s">
        <v>40</v>
      </c>
      <c r="E24" s="6" t="s">
        <v>209</v>
      </c>
      <c r="F24" s="177" t="s">
        <v>17</v>
      </c>
      <c r="G24" s="83" t="s">
        <v>17</v>
      </c>
      <c r="H24" s="83" t="s">
        <v>17</v>
      </c>
      <c r="I24" s="83">
        <v>1399</v>
      </c>
      <c r="J24" s="83" t="s">
        <v>25</v>
      </c>
      <c r="K24" s="288">
        <v>1</v>
      </c>
      <c r="L24" s="218"/>
      <c r="M24" s="43" t="s">
        <v>1856</v>
      </c>
      <c r="N24" s="175"/>
      <c r="O24" s="309"/>
      <c r="P24" s="308" t="s">
        <v>324</v>
      </c>
      <c r="Q24" s="29"/>
      <c r="R24" s="29"/>
    </row>
    <row r="25" spans="1:18" ht="61.15" customHeight="1">
      <c r="A25" s="354">
        <v>19</v>
      </c>
      <c r="B25" s="6" t="s">
        <v>75</v>
      </c>
      <c r="C25" s="306" t="s">
        <v>790</v>
      </c>
      <c r="D25" s="65" t="s">
        <v>40</v>
      </c>
      <c r="E25" s="307" t="s">
        <v>573</v>
      </c>
      <c r="F25" s="177">
        <v>409200</v>
      </c>
      <c r="G25" s="83" t="s">
        <v>23</v>
      </c>
      <c r="H25" s="83" t="s">
        <v>41</v>
      </c>
      <c r="I25" s="83">
        <v>1399</v>
      </c>
      <c r="J25" s="83" t="s">
        <v>25</v>
      </c>
      <c r="K25" s="288">
        <v>1</v>
      </c>
      <c r="L25" s="218" t="s">
        <v>1828</v>
      </c>
      <c r="M25" s="43" t="s">
        <v>1856</v>
      </c>
      <c r="N25" s="452" t="s">
        <v>325</v>
      </c>
      <c r="O25" s="22" t="s">
        <v>979</v>
      </c>
      <c r="P25" s="64"/>
      <c r="Q25" s="29"/>
      <c r="R25" s="29"/>
    </row>
    <row r="26" spans="1:18" ht="57.6" customHeight="1">
      <c r="A26" s="354">
        <v>20</v>
      </c>
      <c r="B26" s="6" t="s">
        <v>75</v>
      </c>
      <c r="C26" s="306" t="s">
        <v>790</v>
      </c>
      <c r="D26" s="65" t="s">
        <v>40</v>
      </c>
      <c r="E26" s="307" t="s">
        <v>807</v>
      </c>
      <c r="F26" s="177">
        <v>274536</v>
      </c>
      <c r="G26" s="83" t="s">
        <v>23</v>
      </c>
      <c r="H26" s="83" t="s">
        <v>41</v>
      </c>
      <c r="I26" s="83">
        <v>1399</v>
      </c>
      <c r="J26" s="83" t="s">
        <v>25</v>
      </c>
      <c r="K26" s="288">
        <v>1</v>
      </c>
      <c r="L26" s="218" t="s">
        <v>1828</v>
      </c>
      <c r="M26" s="43" t="s">
        <v>1856</v>
      </c>
      <c r="N26" s="452" t="s">
        <v>325</v>
      </c>
      <c r="O26" s="22" t="s">
        <v>979</v>
      </c>
      <c r="P26" s="64"/>
      <c r="Q26" s="29"/>
      <c r="R26" s="29"/>
    </row>
    <row r="27" spans="1:18" ht="57.6" customHeight="1">
      <c r="A27" s="354">
        <v>21</v>
      </c>
      <c r="B27" s="6" t="s">
        <v>75</v>
      </c>
      <c r="C27" s="306" t="s">
        <v>790</v>
      </c>
      <c r="D27" s="65" t="s">
        <v>40</v>
      </c>
      <c r="E27" s="6" t="s">
        <v>572</v>
      </c>
      <c r="F27" s="177">
        <v>892800</v>
      </c>
      <c r="G27" s="83" t="s">
        <v>23</v>
      </c>
      <c r="H27" s="83" t="s">
        <v>41</v>
      </c>
      <c r="I27" s="83">
        <v>1399</v>
      </c>
      <c r="J27" s="83" t="s">
        <v>25</v>
      </c>
      <c r="K27" s="288">
        <v>1</v>
      </c>
      <c r="L27" s="218" t="s">
        <v>1828</v>
      </c>
      <c r="M27" s="43" t="s">
        <v>1856</v>
      </c>
      <c r="N27" s="452" t="s">
        <v>325</v>
      </c>
      <c r="O27" s="22" t="s">
        <v>979</v>
      </c>
      <c r="P27" s="64"/>
      <c r="Q27" s="29"/>
      <c r="R27" s="29"/>
    </row>
    <row r="28" spans="1:18" ht="67.150000000000006" customHeight="1">
      <c r="A28" s="354">
        <v>22</v>
      </c>
      <c r="B28" s="6" t="s">
        <v>75</v>
      </c>
      <c r="C28" s="306" t="s">
        <v>790</v>
      </c>
      <c r="D28" s="65" t="s">
        <v>40</v>
      </c>
      <c r="E28" s="6" t="s">
        <v>806</v>
      </c>
      <c r="F28" s="177">
        <v>2435616</v>
      </c>
      <c r="G28" s="83" t="s">
        <v>23</v>
      </c>
      <c r="H28" s="83" t="s">
        <v>41</v>
      </c>
      <c r="I28" s="83">
        <v>1399</v>
      </c>
      <c r="J28" s="83" t="s">
        <v>25</v>
      </c>
      <c r="K28" s="288">
        <v>1</v>
      </c>
      <c r="L28" s="218" t="s">
        <v>1828</v>
      </c>
      <c r="M28" s="43" t="s">
        <v>1856</v>
      </c>
      <c r="N28" s="452" t="s">
        <v>325</v>
      </c>
      <c r="O28" s="22" t="s">
        <v>979</v>
      </c>
      <c r="P28" s="64"/>
      <c r="Q28" s="29"/>
      <c r="R28" s="29"/>
    </row>
    <row r="29" spans="1:18" ht="75" customHeight="1">
      <c r="A29" s="354">
        <v>23</v>
      </c>
      <c r="B29" s="6" t="s">
        <v>75</v>
      </c>
      <c r="C29" s="306" t="s">
        <v>790</v>
      </c>
      <c r="D29" s="65" t="s">
        <v>40</v>
      </c>
      <c r="E29" s="6" t="s">
        <v>805</v>
      </c>
      <c r="F29" s="177">
        <v>86580</v>
      </c>
      <c r="G29" s="83" t="s">
        <v>23</v>
      </c>
      <c r="H29" s="83" t="s">
        <v>41</v>
      </c>
      <c r="I29" s="83">
        <v>1399</v>
      </c>
      <c r="J29" s="83" t="s">
        <v>25</v>
      </c>
      <c r="K29" s="288">
        <v>1</v>
      </c>
      <c r="L29" s="218"/>
      <c r="M29" s="43" t="s">
        <v>1856</v>
      </c>
      <c r="N29" s="175"/>
      <c r="O29" s="64"/>
      <c r="P29" s="64"/>
      <c r="Q29" s="29"/>
      <c r="R29" s="29"/>
    </row>
    <row r="30" spans="1:18" s="447" customFormat="1" ht="75" customHeight="1">
      <c r="A30" s="354">
        <v>24</v>
      </c>
      <c r="B30" s="6" t="s">
        <v>75</v>
      </c>
      <c r="C30" s="306" t="s">
        <v>980</v>
      </c>
      <c r="D30" s="452" t="s">
        <v>40</v>
      </c>
      <c r="E30" s="6" t="s">
        <v>981</v>
      </c>
      <c r="F30" s="177">
        <v>300000</v>
      </c>
      <c r="G30" s="354" t="s">
        <v>23</v>
      </c>
      <c r="H30" s="354" t="s">
        <v>41</v>
      </c>
      <c r="I30" s="354">
        <v>1399</v>
      </c>
      <c r="J30" s="354" t="s">
        <v>25</v>
      </c>
      <c r="K30" s="288">
        <v>1</v>
      </c>
      <c r="L30" s="218"/>
      <c r="M30" s="43" t="s">
        <v>1856</v>
      </c>
      <c r="N30" s="175"/>
      <c r="O30" s="450"/>
      <c r="P30" s="450"/>
      <c r="Q30" s="29"/>
      <c r="R30" s="29"/>
    </row>
    <row r="31" spans="1:18" ht="75" customHeight="1">
      <c r="A31" s="354">
        <v>25</v>
      </c>
      <c r="B31" s="6" t="s">
        <v>75</v>
      </c>
      <c r="C31" s="306" t="s">
        <v>790</v>
      </c>
      <c r="D31" s="65" t="s">
        <v>40</v>
      </c>
      <c r="E31" s="6" t="s">
        <v>86</v>
      </c>
      <c r="F31" s="177">
        <v>750000</v>
      </c>
      <c r="G31" s="83" t="s">
        <v>23</v>
      </c>
      <c r="H31" s="83" t="s">
        <v>41</v>
      </c>
      <c r="I31" s="83">
        <v>1399</v>
      </c>
      <c r="J31" s="83" t="s">
        <v>25</v>
      </c>
      <c r="K31" s="288">
        <v>1</v>
      </c>
      <c r="L31" s="218" t="s">
        <v>1828</v>
      </c>
      <c r="M31" s="43" t="s">
        <v>1856</v>
      </c>
      <c r="N31" s="452" t="s">
        <v>325</v>
      </c>
      <c r="O31" s="22" t="s">
        <v>979</v>
      </c>
      <c r="P31" s="260"/>
      <c r="Q31" s="29"/>
      <c r="R31" s="29"/>
    </row>
    <row r="32" spans="1:18" ht="72" customHeight="1">
      <c r="A32" s="354">
        <v>26</v>
      </c>
      <c r="B32" s="6" t="s">
        <v>75</v>
      </c>
      <c r="C32" s="306" t="s">
        <v>790</v>
      </c>
      <c r="D32" s="65" t="s">
        <v>40</v>
      </c>
      <c r="E32" s="6" t="s">
        <v>804</v>
      </c>
      <c r="F32" s="177">
        <v>290160</v>
      </c>
      <c r="G32" s="83" t="s">
        <v>23</v>
      </c>
      <c r="H32" s="83" t="s">
        <v>41</v>
      </c>
      <c r="I32" s="83">
        <v>1399</v>
      </c>
      <c r="J32" s="83" t="s">
        <v>25</v>
      </c>
      <c r="K32" s="288">
        <v>1</v>
      </c>
      <c r="L32" s="218" t="s">
        <v>1828</v>
      </c>
      <c r="M32" s="43" t="s">
        <v>1856</v>
      </c>
      <c r="N32" s="452" t="s">
        <v>325</v>
      </c>
      <c r="O32" s="22" t="s">
        <v>979</v>
      </c>
      <c r="P32" s="64"/>
      <c r="Q32" s="29"/>
      <c r="R32" s="29"/>
    </row>
    <row r="33" spans="1:35" ht="48.6" customHeight="1">
      <c r="A33" s="354">
        <v>27</v>
      </c>
      <c r="B33" s="6" t="s">
        <v>75</v>
      </c>
      <c r="C33" s="306" t="s">
        <v>790</v>
      </c>
      <c r="D33" s="65" t="s">
        <v>40</v>
      </c>
      <c r="E33" s="6" t="s">
        <v>803</v>
      </c>
      <c r="F33" s="177">
        <v>145800</v>
      </c>
      <c r="G33" s="83" t="s">
        <v>23</v>
      </c>
      <c r="H33" s="83" t="s">
        <v>41</v>
      </c>
      <c r="I33" s="83">
        <v>1399</v>
      </c>
      <c r="J33" s="83" t="s">
        <v>25</v>
      </c>
      <c r="K33" s="288">
        <v>1</v>
      </c>
      <c r="L33" s="218"/>
      <c r="M33" s="43" t="s">
        <v>1856</v>
      </c>
      <c r="N33" s="175"/>
      <c r="O33" s="64"/>
      <c r="P33" s="64"/>
      <c r="Q33" s="29"/>
      <c r="R33" s="29"/>
    </row>
    <row r="34" spans="1:35" ht="49.15" customHeight="1">
      <c r="A34" s="354">
        <v>28</v>
      </c>
      <c r="B34" s="6" t="s">
        <v>75</v>
      </c>
      <c r="C34" s="306" t="s">
        <v>790</v>
      </c>
      <c r="D34" s="65" t="s">
        <v>40</v>
      </c>
      <c r="E34" s="6" t="s">
        <v>802</v>
      </c>
      <c r="F34" s="177">
        <v>1785600</v>
      </c>
      <c r="G34" s="83" t="s">
        <v>23</v>
      </c>
      <c r="H34" s="83" t="s">
        <v>41</v>
      </c>
      <c r="I34" s="83">
        <v>1399</v>
      </c>
      <c r="J34" s="83" t="s">
        <v>25</v>
      </c>
      <c r="K34" s="288">
        <v>1</v>
      </c>
      <c r="L34" s="218"/>
      <c r="M34" s="43" t="s">
        <v>1856</v>
      </c>
      <c r="N34" s="175"/>
      <c r="O34" s="64"/>
      <c r="P34" s="64"/>
      <c r="Q34" s="29"/>
      <c r="R34" s="29"/>
      <c r="X34" s="806"/>
      <c r="Y34" s="806"/>
      <c r="Z34" s="806"/>
      <c r="AA34" s="806"/>
      <c r="AB34" s="806"/>
      <c r="AC34" s="806"/>
      <c r="AD34" s="806"/>
      <c r="AE34" s="806"/>
      <c r="AF34" s="806"/>
      <c r="AG34" s="806"/>
      <c r="AH34" s="806"/>
      <c r="AI34" s="806"/>
    </row>
    <row r="35" spans="1:35" ht="52.9" customHeight="1">
      <c r="A35" s="354">
        <v>29</v>
      </c>
      <c r="B35" s="6" t="s">
        <v>75</v>
      </c>
      <c r="C35" s="306" t="s">
        <v>790</v>
      </c>
      <c r="D35" s="65" t="s">
        <v>40</v>
      </c>
      <c r="E35" s="6" t="s">
        <v>441</v>
      </c>
      <c r="F35" s="177">
        <v>787065</v>
      </c>
      <c r="G35" s="83" t="s">
        <v>23</v>
      </c>
      <c r="H35" s="83" t="s">
        <v>41</v>
      </c>
      <c r="I35" s="83">
        <v>1399</v>
      </c>
      <c r="J35" s="83" t="s">
        <v>25</v>
      </c>
      <c r="K35" s="288">
        <v>1</v>
      </c>
      <c r="L35" s="218" t="s">
        <v>1828</v>
      </c>
      <c r="M35" s="43" t="s">
        <v>1856</v>
      </c>
      <c r="N35" s="648" t="s">
        <v>325</v>
      </c>
      <c r="O35" s="22" t="s">
        <v>979</v>
      </c>
      <c r="P35" s="64"/>
      <c r="Q35" s="29"/>
      <c r="R35" s="29"/>
    </row>
    <row r="36" spans="1:35" ht="60" customHeight="1">
      <c r="A36" s="354">
        <v>30</v>
      </c>
      <c r="B36" s="6" t="s">
        <v>75</v>
      </c>
      <c r="C36" s="306" t="s">
        <v>790</v>
      </c>
      <c r="D36" s="65" t="s">
        <v>40</v>
      </c>
      <c r="E36" s="164" t="s">
        <v>974</v>
      </c>
      <c r="F36" s="177">
        <f>200*2617</f>
        <v>523400</v>
      </c>
      <c r="G36" s="83" t="s">
        <v>23</v>
      </c>
      <c r="H36" s="83" t="s">
        <v>41</v>
      </c>
      <c r="I36" s="83">
        <v>1399</v>
      </c>
      <c r="J36" s="83" t="s">
        <v>25</v>
      </c>
      <c r="K36" s="288">
        <v>1</v>
      </c>
      <c r="L36" s="218"/>
      <c r="M36" s="43" t="s">
        <v>1856</v>
      </c>
      <c r="N36" s="175"/>
      <c r="O36" s="64"/>
      <c r="P36" s="260"/>
      <c r="Q36" s="29"/>
      <c r="R36" s="29"/>
    </row>
    <row r="37" spans="1:35" ht="48.6" customHeight="1">
      <c r="A37" s="354">
        <v>31</v>
      </c>
      <c r="B37" s="6" t="s">
        <v>75</v>
      </c>
      <c r="C37" s="306" t="s">
        <v>790</v>
      </c>
      <c r="D37" s="65" t="s">
        <v>40</v>
      </c>
      <c r="E37" s="6" t="s">
        <v>178</v>
      </c>
      <c r="F37" s="177">
        <v>85028</v>
      </c>
      <c r="G37" s="83" t="s">
        <v>23</v>
      </c>
      <c r="H37" s="83" t="s">
        <v>41</v>
      </c>
      <c r="I37" s="83">
        <v>1399</v>
      </c>
      <c r="J37" s="83" t="s">
        <v>25</v>
      </c>
      <c r="K37" s="288">
        <v>1</v>
      </c>
      <c r="L37" s="218"/>
      <c r="M37" s="43" t="s">
        <v>1856</v>
      </c>
      <c r="N37" s="175"/>
      <c r="O37" s="64"/>
      <c r="P37" s="64"/>
      <c r="Q37" s="29"/>
      <c r="R37" s="29"/>
    </row>
    <row r="38" spans="1:35" ht="74.45" customHeight="1">
      <c r="A38" s="354">
        <v>32</v>
      </c>
      <c r="B38" s="6" t="s">
        <v>75</v>
      </c>
      <c r="C38" s="306" t="s">
        <v>790</v>
      </c>
      <c r="D38" s="65" t="s">
        <v>40</v>
      </c>
      <c r="E38" s="65" t="s">
        <v>49</v>
      </c>
      <c r="F38" s="177">
        <v>156150</v>
      </c>
      <c r="G38" s="83" t="s">
        <v>23</v>
      </c>
      <c r="H38" s="83" t="s">
        <v>41</v>
      </c>
      <c r="I38" s="83">
        <v>1399</v>
      </c>
      <c r="J38" s="83" t="s">
        <v>25</v>
      </c>
      <c r="K38" s="288">
        <v>1</v>
      </c>
      <c r="L38" s="218" t="s">
        <v>1828</v>
      </c>
      <c r="M38" s="43" t="s">
        <v>1856</v>
      </c>
      <c r="N38" s="648" t="s">
        <v>325</v>
      </c>
      <c r="O38" s="22" t="s">
        <v>979</v>
      </c>
      <c r="P38" s="64"/>
      <c r="Q38" s="29"/>
      <c r="R38" s="29"/>
    </row>
    <row r="39" spans="1:35" ht="78.599999999999994" customHeight="1">
      <c r="A39" s="354">
        <v>33</v>
      </c>
      <c r="B39" s="6" t="s">
        <v>75</v>
      </c>
      <c r="C39" s="306" t="s">
        <v>790</v>
      </c>
      <c r="D39" s="65" t="s">
        <v>40</v>
      </c>
      <c r="E39" s="65" t="s">
        <v>801</v>
      </c>
      <c r="F39" s="177">
        <v>182250</v>
      </c>
      <c r="G39" s="83" t="s">
        <v>23</v>
      </c>
      <c r="H39" s="83" t="s">
        <v>41</v>
      </c>
      <c r="I39" s="83">
        <v>1399</v>
      </c>
      <c r="J39" s="83" t="s">
        <v>25</v>
      </c>
      <c r="K39" s="288">
        <v>1</v>
      </c>
      <c r="L39" s="218" t="s">
        <v>1828</v>
      </c>
      <c r="M39" s="43" t="s">
        <v>1856</v>
      </c>
      <c r="N39" s="648" t="s">
        <v>325</v>
      </c>
      <c r="O39" s="22" t="s">
        <v>979</v>
      </c>
      <c r="P39" s="64"/>
      <c r="Q39" s="29"/>
      <c r="R39" s="29"/>
    </row>
    <row r="40" spans="1:35" ht="74.45" customHeight="1">
      <c r="A40" s="354">
        <v>34</v>
      </c>
      <c r="B40" s="6" t="s">
        <v>75</v>
      </c>
      <c r="C40" s="306" t="s">
        <v>790</v>
      </c>
      <c r="D40" s="65" t="s">
        <v>40</v>
      </c>
      <c r="E40" s="65" t="s">
        <v>103</v>
      </c>
      <c r="F40" s="177">
        <v>136650</v>
      </c>
      <c r="G40" s="83" t="s">
        <v>23</v>
      </c>
      <c r="H40" s="83" t="s">
        <v>41</v>
      </c>
      <c r="I40" s="83">
        <v>1399</v>
      </c>
      <c r="J40" s="83" t="s">
        <v>25</v>
      </c>
      <c r="K40" s="288">
        <v>1</v>
      </c>
      <c r="L40" s="218" t="s">
        <v>1828</v>
      </c>
      <c r="M40" s="43" t="s">
        <v>1856</v>
      </c>
      <c r="N40" s="648" t="s">
        <v>325</v>
      </c>
      <c r="O40" s="22" t="s">
        <v>979</v>
      </c>
      <c r="P40" s="64"/>
      <c r="Q40" s="29"/>
      <c r="R40" s="29"/>
    </row>
    <row r="41" spans="1:35" ht="78.599999999999994" customHeight="1">
      <c r="A41" s="354">
        <v>35</v>
      </c>
      <c r="B41" s="6" t="s">
        <v>75</v>
      </c>
      <c r="C41" s="306" t="s">
        <v>790</v>
      </c>
      <c r="D41" s="65" t="s">
        <v>40</v>
      </c>
      <c r="E41" s="6" t="s">
        <v>800</v>
      </c>
      <c r="F41" s="177">
        <v>515100</v>
      </c>
      <c r="G41" s="83" t="s">
        <v>23</v>
      </c>
      <c r="H41" s="83" t="s">
        <v>41</v>
      </c>
      <c r="I41" s="83">
        <v>1399</v>
      </c>
      <c r="J41" s="83" t="s">
        <v>25</v>
      </c>
      <c r="K41" s="288">
        <v>1</v>
      </c>
      <c r="L41" s="218" t="s">
        <v>1828</v>
      </c>
      <c r="M41" s="43" t="s">
        <v>1856</v>
      </c>
      <c r="N41" s="648" t="s">
        <v>325</v>
      </c>
      <c r="O41" s="22" t="s">
        <v>979</v>
      </c>
      <c r="P41" s="64"/>
      <c r="Q41" s="29"/>
      <c r="R41" s="29"/>
    </row>
    <row r="42" spans="1:35" ht="46.9" customHeight="1">
      <c r="A42" s="354">
        <v>36</v>
      </c>
      <c r="B42" s="6" t="s">
        <v>75</v>
      </c>
      <c r="C42" s="306" t="s">
        <v>790</v>
      </c>
      <c r="D42" s="65" t="s">
        <v>40</v>
      </c>
      <c r="E42" s="6" t="s">
        <v>799</v>
      </c>
      <c r="F42" s="177">
        <v>472500</v>
      </c>
      <c r="G42" s="83" t="s">
        <v>23</v>
      </c>
      <c r="H42" s="83" t="s">
        <v>41</v>
      </c>
      <c r="I42" s="83">
        <v>1399</v>
      </c>
      <c r="J42" s="83" t="s">
        <v>25</v>
      </c>
      <c r="K42" s="288">
        <v>1</v>
      </c>
      <c r="L42" s="218"/>
      <c r="M42" s="43" t="s">
        <v>1856</v>
      </c>
      <c r="N42" s="175"/>
      <c r="O42" s="64"/>
      <c r="P42" s="64"/>
      <c r="Q42" s="29"/>
      <c r="R42" s="29"/>
    </row>
    <row r="43" spans="1:35" ht="78" customHeight="1">
      <c r="A43" s="354">
        <v>37</v>
      </c>
      <c r="B43" s="6" t="s">
        <v>75</v>
      </c>
      <c r="C43" s="306" t="s">
        <v>790</v>
      </c>
      <c r="D43" s="65" t="s">
        <v>40</v>
      </c>
      <c r="E43" s="6" t="s">
        <v>798</v>
      </c>
      <c r="F43" s="177">
        <v>136710</v>
      </c>
      <c r="G43" s="83" t="s">
        <v>23</v>
      </c>
      <c r="H43" s="83" t="s">
        <v>41</v>
      </c>
      <c r="I43" s="83">
        <v>1399</v>
      </c>
      <c r="J43" s="83" t="s">
        <v>25</v>
      </c>
      <c r="K43" s="288">
        <v>1</v>
      </c>
      <c r="L43" s="218" t="s">
        <v>1828</v>
      </c>
      <c r="M43" s="43" t="s">
        <v>1856</v>
      </c>
      <c r="N43" s="648" t="s">
        <v>325</v>
      </c>
      <c r="O43" s="22" t="s">
        <v>979</v>
      </c>
      <c r="P43" s="260"/>
      <c r="Q43" s="29"/>
      <c r="R43" s="29"/>
    </row>
    <row r="44" spans="1:35" ht="82.9" customHeight="1">
      <c r="A44" s="354">
        <v>38</v>
      </c>
      <c r="B44" s="6" t="s">
        <v>75</v>
      </c>
      <c r="C44" s="306" t="s">
        <v>790</v>
      </c>
      <c r="D44" s="65" t="s">
        <v>40</v>
      </c>
      <c r="E44" s="6" t="s">
        <v>181</v>
      </c>
      <c r="F44" s="177">
        <v>52080</v>
      </c>
      <c r="G44" s="83" t="s">
        <v>23</v>
      </c>
      <c r="H44" s="83" t="s">
        <v>41</v>
      </c>
      <c r="I44" s="83">
        <v>1399</v>
      </c>
      <c r="J44" s="83" t="s">
        <v>25</v>
      </c>
      <c r="K44" s="288">
        <v>1</v>
      </c>
      <c r="L44" s="218" t="s">
        <v>1828</v>
      </c>
      <c r="M44" s="43" t="s">
        <v>1856</v>
      </c>
      <c r="N44" s="648" t="s">
        <v>325</v>
      </c>
      <c r="O44" s="22" t="s">
        <v>979</v>
      </c>
      <c r="P44" s="260"/>
      <c r="Q44" s="29"/>
      <c r="R44" s="29"/>
    </row>
    <row r="45" spans="1:35" ht="78.599999999999994" customHeight="1">
      <c r="A45" s="354">
        <v>39</v>
      </c>
      <c r="B45" s="6" t="s">
        <v>75</v>
      </c>
      <c r="C45" s="306" t="s">
        <v>790</v>
      </c>
      <c r="D45" s="65" t="s">
        <v>40</v>
      </c>
      <c r="E45" s="6" t="s">
        <v>797</v>
      </c>
      <c r="F45" s="177">
        <v>1190391</v>
      </c>
      <c r="G45" s="83" t="s">
        <v>23</v>
      </c>
      <c r="H45" s="83" t="s">
        <v>41</v>
      </c>
      <c r="I45" s="83">
        <v>1399</v>
      </c>
      <c r="J45" s="83" t="s">
        <v>25</v>
      </c>
      <c r="K45" s="288">
        <v>1</v>
      </c>
      <c r="L45" s="218" t="s">
        <v>1828</v>
      </c>
      <c r="M45" s="43" t="s">
        <v>1856</v>
      </c>
      <c r="N45" s="452" t="s">
        <v>325</v>
      </c>
      <c r="O45" s="22" t="s">
        <v>979</v>
      </c>
      <c r="P45" s="260"/>
      <c r="Q45" s="29"/>
      <c r="R45" s="29"/>
    </row>
    <row r="46" spans="1:35" ht="48.6" customHeight="1">
      <c r="A46" s="354">
        <v>40</v>
      </c>
      <c r="B46" s="6" t="s">
        <v>75</v>
      </c>
      <c r="C46" s="306" t="s">
        <v>790</v>
      </c>
      <c r="D46" s="65" t="s">
        <v>40</v>
      </c>
      <c r="E46" s="6" t="s">
        <v>796</v>
      </c>
      <c r="F46" s="177">
        <v>465000</v>
      </c>
      <c r="G46" s="83" t="s">
        <v>23</v>
      </c>
      <c r="H46" s="83" t="s">
        <v>41</v>
      </c>
      <c r="I46" s="83">
        <v>1399</v>
      </c>
      <c r="J46" s="83" t="s">
        <v>25</v>
      </c>
      <c r="K46" s="288">
        <v>1</v>
      </c>
      <c r="L46" s="218"/>
      <c r="M46" s="43" t="s">
        <v>1856</v>
      </c>
      <c r="N46" s="175"/>
      <c r="O46" s="57"/>
      <c r="P46" s="64"/>
      <c r="Q46" s="29"/>
      <c r="R46" s="29"/>
    </row>
    <row r="47" spans="1:35" ht="50.45" customHeight="1">
      <c r="A47" s="354">
        <v>41</v>
      </c>
      <c r="B47" s="6" t="s">
        <v>75</v>
      </c>
      <c r="C47" s="306" t="s">
        <v>790</v>
      </c>
      <c r="D47" s="65" t="s">
        <v>40</v>
      </c>
      <c r="E47" s="6" t="s">
        <v>795</v>
      </c>
      <c r="F47" s="177">
        <v>800000</v>
      </c>
      <c r="G47" s="83" t="s">
        <v>23</v>
      </c>
      <c r="H47" s="83" t="s">
        <v>41</v>
      </c>
      <c r="I47" s="83">
        <v>1399</v>
      </c>
      <c r="J47" s="83" t="s">
        <v>25</v>
      </c>
      <c r="K47" s="288">
        <v>1</v>
      </c>
      <c r="L47" s="218"/>
      <c r="M47" s="43" t="s">
        <v>1856</v>
      </c>
      <c r="N47" s="175"/>
      <c r="O47" s="57"/>
      <c r="P47" s="64"/>
      <c r="Q47" s="29"/>
      <c r="R47" s="29"/>
    </row>
    <row r="48" spans="1:35" ht="73.150000000000006" customHeight="1">
      <c r="A48" s="354">
        <v>42</v>
      </c>
      <c r="B48" s="6" t="s">
        <v>75</v>
      </c>
      <c r="C48" s="306" t="s">
        <v>790</v>
      </c>
      <c r="D48" s="65" t="s">
        <v>40</v>
      </c>
      <c r="E48" s="6" t="s">
        <v>794</v>
      </c>
      <c r="F48" s="177">
        <v>231000</v>
      </c>
      <c r="G48" s="83" t="s">
        <v>23</v>
      </c>
      <c r="H48" s="83" t="s">
        <v>41</v>
      </c>
      <c r="I48" s="83">
        <v>1399</v>
      </c>
      <c r="J48" s="83" t="s">
        <v>25</v>
      </c>
      <c r="K48" s="288">
        <v>1</v>
      </c>
      <c r="L48" s="218"/>
      <c r="M48" s="43" t="s">
        <v>1856</v>
      </c>
      <c r="N48" s="175"/>
      <c r="O48" s="64"/>
      <c r="P48" s="64"/>
      <c r="Q48" s="29"/>
      <c r="R48" s="29"/>
    </row>
    <row r="49" spans="1:18" ht="73.150000000000006" customHeight="1">
      <c r="A49" s="354">
        <v>43</v>
      </c>
      <c r="B49" s="6" t="s">
        <v>75</v>
      </c>
      <c r="C49" s="306" t="s">
        <v>790</v>
      </c>
      <c r="D49" s="65" t="s">
        <v>40</v>
      </c>
      <c r="E49" s="6" t="s">
        <v>793</v>
      </c>
      <c r="F49" s="177">
        <v>150000</v>
      </c>
      <c r="G49" s="83" t="s">
        <v>23</v>
      </c>
      <c r="H49" s="83" t="s">
        <v>41</v>
      </c>
      <c r="I49" s="83">
        <v>1399</v>
      </c>
      <c r="J49" s="83" t="s">
        <v>25</v>
      </c>
      <c r="K49" s="288">
        <v>1</v>
      </c>
      <c r="L49" s="218"/>
      <c r="M49" s="43" t="s">
        <v>1856</v>
      </c>
      <c r="N49" s="175"/>
      <c r="O49" s="64"/>
      <c r="P49" s="64"/>
      <c r="Q49" s="29"/>
      <c r="R49" s="29"/>
    </row>
    <row r="50" spans="1:18" ht="54">
      <c r="A50" s="354">
        <v>44</v>
      </c>
      <c r="B50" s="6" t="s">
        <v>75</v>
      </c>
      <c r="C50" s="306" t="s">
        <v>790</v>
      </c>
      <c r="D50" s="65" t="s">
        <v>40</v>
      </c>
      <c r="E50" s="6" t="s">
        <v>792</v>
      </c>
      <c r="F50" s="177">
        <v>625000</v>
      </c>
      <c r="G50" s="83" t="s">
        <v>23</v>
      </c>
      <c r="H50" s="83" t="s">
        <v>41</v>
      </c>
      <c r="I50" s="83">
        <v>1399</v>
      </c>
      <c r="J50" s="83" t="s">
        <v>25</v>
      </c>
      <c r="K50" s="288">
        <v>1</v>
      </c>
      <c r="L50" s="218"/>
      <c r="M50" s="43" t="s">
        <v>1856</v>
      </c>
      <c r="N50" s="175"/>
      <c r="O50" s="57"/>
      <c r="P50" s="64"/>
      <c r="Q50" s="29"/>
      <c r="R50" s="29"/>
    </row>
    <row r="51" spans="1:18" ht="100.9" customHeight="1">
      <c r="A51" s="354">
        <v>45</v>
      </c>
      <c r="B51" s="6" t="s">
        <v>75</v>
      </c>
      <c r="C51" s="306" t="s">
        <v>790</v>
      </c>
      <c r="D51" s="65" t="s">
        <v>40</v>
      </c>
      <c r="E51" s="6" t="s">
        <v>791</v>
      </c>
      <c r="F51" s="177">
        <v>1040270</v>
      </c>
      <c r="G51" s="83" t="s">
        <v>23</v>
      </c>
      <c r="H51" s="83" t="s">
        <v>41</v>
      </c>
      <c r="I51" s="83">
        <v>1399</v>
      </c>
      <c r="J51" s="83" t="s">
        <v>25</v>
      </c>
      <c r="K51" s="288">
        <v>1</v>
      </c>
      <c r="L51" s="218"/>
      <c r="M51" s="43" t="s">
        <v>1856</v>
      </c>
      <c r="N51" s="175"/>
      <c r="O51" s="174"/>
      <c r="P51" s="64"/>
      <c r="Q51" s="29"/>
      <c r="R51" s="29"/>
    </row>
    <row r="52" spans="1:18" ht="109.5" customHeight="1">
      <c r="A52" s="354">
        <v>46</v>
      </c>
      <c r="B52" s="6" t="s">
        <v>75</v>
      </c>
      <c r="C52" s="306" t="s">
        <v>790</v>
      </c>
      <c r="D52" s="65" t="s">
        <v>40</v>
      </c>
      <c r="E52" s="6" t="s">
        <v>789</v>
      </c>
      <c r="F52" s="177">
        <v>700700</v>
      </c>
      <c r="G52" s="83" t="s">
        <v>23</v>
      </c>
      <c r="H52" s="83" t="s">
        <v>41</v>
      </c>
      <c r="I52" s="83">
        <v>1399</v>
      </c>
      <c r="J52" s="83" t="s">
        <v>25</v>
      </c>
      <c r="K52" s="288">
        <v>1</v>
      </c>
      <c r="L52" s="218" t="s">
        <v>1828</v>
      </c>
      <c r="M52" s="43" t="s">
        <v>1856</v>
      </c>
      <c r="N52" s="452" t="s">
        <v>325</v>
      </c>
      <c r="O52" s="22" t="s">
        <v>979</v>
      </c>
      <c r="P52" s="64"/>
      <c r="Q52" s="29"/>
      <c r="R52" s="29"/>
    </row>
    <row r="53" spans="1:18" ht="50.45" customHeight="1">
      <c r="A53" s="354">
        <v>47</v>
      </c>
      <c r="B53" s="6" t="s">
        <v>75</v>
      </c>
      <c r="C53" s="6" t="s">
        <v>788</v>
      </c>
      <c r="D53" s="169" t="s">
        <v>40</v>
      </c>
      <c r="E53" s="164" t="s">
        <v>140</v>
      </c>
      <c r="F53" s="184">
        <f>83077500/5</f>
        <v>16615500</v>
      </c>
      <c r="G53" s="80" t="s">
        <v>23</v>
      </c>
      <c r="H53" s="80" t="s">
        <v>77</v>
      </c>
      <c r="I53" s="80">
        <v>1399</v>
      </c>
      <c r="J53" s="21" t="s">
        <v>25</v>
      </c>
      <c r="K53" s="288">
        <v>1</v>
      </c>
      <c r="L53" s="57"/>
      <c r="M53" s="43" t="s">
        <v>1856</v>
      </c>
      <c r="N53" s="64"/>
      <c r="O53" s="64"/>
      <c r="P53" s="64"/>
      <c r="Q53" s="29"/>
      <c r="R53" s="29"/>
    </row>
    <row r="54" spans="1:18" ht="61.9" customHeight="1">
      <c r="A54" s="354">
        <v>48</v>
      </c>
      <c r="B54" s="6" t="s">
        <v>75</v>
      </c>
      <c r="C54" s="6"/>
      <c r="D54" s="65" t="s">
        <v>40</v>
      </c>
      <c r="E54" s="6" t="s">
        <v>96</v>
      </c>
      <c r="F54" s="177"/>
      <c r="G54" s="83" t="s">
        <v>23</v>
      </c>
      <c r="H54" s="83" t="s">
        <v>41</v>
      </c>
      <c r="I54" s="83">
        <v>1399</v>
      </c>
      <c r="J54" s="83" t="s">
        <v>25</v>
      </c>
      <c r="K54" s="288" t="s">
        <v>17</v>
      </c>
      <c r="L54" s="218" t="s">
        <v>3</v>
      </c>
      <c r="M54" s="175"/>
      <c r="N54" s="452" t="s">
        <v>325</v>
      </c>
      <c r="O54" s="22" t="s">
        <v>979</v>
      </c>
      <c r="P54" s="64"/>
      <c r="Q54" s="29"/>
      <c r="R54" s="29"/>
    </row>
    <row r="55" spans="1:18" ht="79.150000000000006" customHeight="1">
      <c r="A55" s="354">
        <v>49</v>
      </c>
      <c r="B55" s="6" t="s">
        <v>75</v>
      </c>
      <c r="C55" s="6"/>
      <c r="D55" s="152" t="s">
        <v>76</v>
      </c>
      <c r="E55" s="152" t="s">
        <v>787</v>
      </c>
      <c r="F55" s="185">
        <v>98189760</v>
      </c>
      <c r="G55" s="82" t="s">
        <v>23</v>
      </c>
      <c r="H55" s="65" t="s">
        <v>77</v>
      </c>
      <c r="I55" s="82">
        <v>1399</v>
      </c>
      <c r="J55" s="65" t="s">
        <v>25</v>
      </c>
      <c r="K55" s="97">
        <v>1</v>
      </c>
      <c r="L55" s="64"/>
      <c r="M55" s="65" t="s">
        <v>71</v>
      </c>
      <c r="N55" s="65"/>
      <c r="O55" s="65"/>
      <c r="P55" s="64"/>
    </row>
    <row r="56" spans="1:18" s="461" customFormat="1" ht="44.45" customHeight="1">
      <c r="A56" s="354">
        <v>50</v>
      </c>
      <c r="B56" s="6" t="s">
        <v>75</v>
      </c>
      <c r="C56" s="6" t="s">
        <v>1191</v>
      </c>
      <c r="D56" s="468" t="s">
        <v>168</v>
      </c>
      <c r="E56" s="468" t="s">
        <v>1192</v>
      </c>
      <c r="F56" s="47">
        <v>1979700</v>
      </c>
      <c r="G56" s="354" t="s">
        <v>23</v>
      </c>
      <c r="H56" s="354" t="s">
        <v>77</v>
      </c>
      <c r="I56" s="354">
        <v>1399</v>
      </c>
      <c r="J56" s="354" t="s">
        <v>25</v>
      </c>
      <c r="K56" s="288">
        <v>1</v>
      </c>
      <c r="L56" s="82" t="s">
        <v>17</v>
      </c>
      <c r="M56" s="697" t="s">
        <v>71</v>
      </c>
      <c r="N56" s="33"/>
      <c r="O56" s="33"/>
      <c r="P56" s="236" t="s">
        <v>1008</v>
      </c>
      <c r="Q56" s="29"/>
      <c r="R56" s="29"/>
    </row>
    <row r="57" spans="1:18" s="461" customFormat="1" ht="42.75" customHeight="1">
      <c r="A57" s="354">
        <v>51</v>
      </c>
      <c r="B57" s="6" t="s">
        <v>75</v>
      </c>
      <c r="C57" s="6" t="s">
        <v>1191</v>
      </c>
      <c r="D57" s="468" t="s">
        <v>168</v>
      </c>
      <c r="E57" s="468" t="s">
        <v>1019</v>
      </c>
      <c r="F57" s="177">
        <v>77600</v>
      </c>
      <c r="G57" s="354" t="s">
        <v>23</v>
      </c>
      <c r="H57" s="354" t="s">
        <v>77</v>
      </c>
      <c r="I57" s="354">
        <v>1399</v>
      </c>
      <c r="J57" s="354" t="s">
        <v>25</v>
      </c>
      <c r="K57" s="288">
        <v>1</v>
      </c>
      <c r="L57" s="469"/>
      <c r="M57" s="697" t="s">
        <v>71</v>
      </c>
      <c r="N57" s="353"/>
      <c r="O57" s="353"/>
      <c r="P57" s="465"/>
      <c r="Q57" s="29"/>
      <c r="R57" s="29"/>
    </row>
    <row r="58" spans="1:18" s="461" customFormat="1" ht="47.25" customHeight="1">
      <c r="A58" s="354">
        <v>52</v>
      </c>
      <c r="B58" s="6" t="s">
        <v>75</v>
      </c>
      <c r="C58" s="6" t="s">
        <v>1063</v>
      </c>
      <c r="D58" s="844" t="s">
        <v>111</v>
      </c>
      <c r="E58" s="468" t="s">
        <v>1193</v>
      </c>
      <c r="F58" s="177">
        <v>75000</v>
      </c>
      <c r="G58" s="354" t="s">
        <v>23</v>
      </c>
      <c r="H58" s="354" t="s">
        <v>77</v>
      </c>
      <c r="I58" s="354">
        <v>1399</v>
      </c>
      <c r="J58" s="354" t="s">
        <v>25</v>
      </c>
      <c r="K58" s="288">
        <v>1</v>
      </c>
      <c r="L58" s="82"/>
      <c r="M58" s="697" t="s">
        <v>71</v>
      </c>
      <c r="N58" s="33"/>
      <c r="O58" s="33"/>
      <c r="P58" s="499"/>
      <c r="Q58" s="29"/>
      <c r="R58" s="29"/>
    </row>
    <row r="59" spans="1:18" s="461" customFormat="1" ht="43.15" customHeight="1">
      <c r="A59" s="354">
        <v>53</v>
      </c>
      <c r="B59" s="6" t="s">
        <v>75</v>
      </c>
      <c r="C59" s="6" t="s">
        <v>1011</v>
      </c>
      <c r="D59" s="844"/>
      <c r="E59" s="468" t="s">
        <v>1194</v>
      </c>
      <c r="F59" s="177">
        <v>320000</v>
      </c>
      <c r="G59" s="354" t="s">
        <v>23</v>
      </c>
      <c r="H59" s="354" t="s">
        <v>77</v>
      </c>
      <c r="I59" s="354">
        <v>1399</v>
      </c>
      <c r="J59" s="354" t="s">
        <v>25</v>
      </c>
      <c r="K59" s="288">
        <v>1</v>
      </c>
      <c r="L59" s="82"/>
      <c r="M59" s="498" t="s">
        <v>42</v>
      </c>
      <c r="N59" s="33"/>
      <c r="O59" s="33"/>
      <c r="P59" s="499"/>
      <c r="Q59" s="29"/>
      <c r="R59" s="29"/>
    </row>
    <row r="60" spans="1:18" s="461" customFormat="1" ht="85.15" customHeight="1">
      <c r="A60" s="354">
        <v>54</v>
      </c>
      <c r="B60" s="6" t="s">
        <v>75</v>
      </c>
      <c r="C60" s="90"/>
      <c r="D60" s="718" t="s">
        <v>643</v>
      </c>
      <c r="E60" s="40" t="s">
        <v>1195</v>
      </c>
      <c r="F60" s="47">
        <v>9000000</v>
      </c>
      <c r="G60" s="714" t="s">
        <v>23</v>
      </c>
      <c r="H60" s="714" t="s">
        <v>747</v>
      </c>
      <c r="I60" s="714">
        <v>1399</v>
      </c>
      <c r="J60" s="714" t="s">
        <v>25</v>
      </c>
      <c r="K60" s="97" t="s">
        <v>955</v>
      </c>
      <c r="L60" s="718" t="s">
        <v>35</v>
      </c>
      <c r="M60" s="44"/>
      <c r="N60" s="33" t="s">
        <v>1866</v>
      </c>
      <c r="O60" s="33" t="s">
        <v>1949</v>
      </c>
      <c r="P60" s="710"/>
      <c r="Q60" s="29"/>
      <c r="R60" s="29"/>
    </row>
    <row r="61" spans="1:18" s="461" customFormat="1" ht="89.45" customHeight="1">
      <c r="A61" s="354">
        <v>55</v>
      </c>
      <c r="B61" s="6" t="s">
        <v>75</v>
      </c>
      <c r="C61" s="90"/>
      <c r="D61" s="718" t="s">
        <v>643</v>
      </c>
      <c r="E61" s="40" t="s">
        <v>1118</v>
      </c>
      <c r="F61" s="47">
        <v>4585000</v>
      </c>
      <c r="G61" s="714" t="s">
        <v>23</v>
      </c>
      <c r="H61" s="714" t="s">
        <v>747</v>
      </c>
      <c r="I61" s="714">
        <v>1399</v>
      </c>
      <c r="J61" s="714" t="s">
        <v>25</v>
      </c>
      <c r="K61" s="97" t="s">
        <v>17</v>
      </c>
      <c r="L61" s="718" t="s">
        <v>35</v>
      </c>
      <c r="M61" s="44"/>
      <c r="N61" s="33" t="s">
        <v>1866</v>
      </c>
      <c r="O61" s="33" t="s">
        <v>1949</v>
      </c>
      <c r="P61" s="710"/>
      <c r="Q61" s="29"/>
      <c r="R61" s="29"/>
    </row>
    <row r="62" spans="1:18" s="461" customFormat="1" ht="79.900000000000006" customHeight="1">
      <c r="A62" s="354">
        <v>56</v>
      </c>
      <c r="B62" s="6" t="s">
        <v>75</v>
      </c>
      <c r="C62" s="90" t="s">
        <v>1196</v>
      </c>
      <c r="D62" s="718" t="s">
        <v>643</v>
      </c>
      <c r="E62" s="40" t="s">
        <v>401</v>
      </c>
      <c r="F62" s="47">
        <v>4424000</v>
      </c>
      <c r="G62" s="714" t="s">
        <v>23</v>
      </c>
      <c r="H62" s="714" t="s">
        <v>747</v>
      </c>
      <c r="I62" s="714">
        <v>1399</v>
      </c>
      <c r="J62" s="714" t="s">
        <v>25</v>
      </c>
      <c r="K62" s="97" t="s">
        <v>17</v>
      </c>
      <c r="L62" s="482" t="s">
        <v>35</v>
      </c>
      <c r="M62" s="44"/>
      <c r="N62" s="22" t="s">
        <v>1119</v>
      </c>
      <c r="O62" s="22" t="s">
        <v>1120</v>
      </c>
      <c r="P62" s="710"/>
      <c r="Q62" s="29"/>
      <c r="R62" s="29"/>
    </row>
    <row r="63" spans="1:18" s="461" customFormat="1" ht="82.9" customHeight="1">
      <c r="A63" s="354">
        <v>57</v>
      </c>
      <c r="B63" s="6" t="s">
        <v>75</v>
      </c>
      <c r="C63" s="90"/>
      <c r="D63" s="718" t="s">
        <v>643</v>
      </c>
      <c r="E63" s="22" t="s">
        <v>502</v>
      </c>
      <c r="F63" s="47">
        <v>1540000</v>
      </c>
      <c r="G63" s="714" t="s">
        <v>23</v>
      </c>
      <c r="H63" s="714" t="s">
        <v>747</v>
      </c>
      <c r="I63" s="714">
        <v>1400</v>
      </c>
      <c r="J63" s="714" t="s">
        <v>25</v>
      </c>
      <c r="K63" s="97"/>
      <c r="L63" s="440" t="s">
        <v>3</v>
      </c>
      <c r="M63" s="33"/>
      <c r="N63" s="22" t="s">
        <v>325</v>
      </c>
      <c r="O63" s="22" t="s">
        <v>56</v>
      </c>
      <c r="P63" s="710"/>
      <c r="Q63" s="29"/>
      <c r="R63" s="29"/>
    </row>
    <row r="64" spans="1:18" s="461" customFormat="1" ht="48.6" customHeight="1">
      <c r="A64" s="354">
        <v>58</v>
      </c>
      <c r="B64" s="6" t="s">
        <v>75</v>
      </c>
      <c r="C64" s="90"/>
      <c r="D64" s="718" t="s">
        <v>643</v>
      </c>
      <c r="E64" s="40" t="s">
        <v>400</v>
      </c>
      <c r="F64" s="845"/>
      <c r="G64" s="714" t="s">
        <v>23</v>
      </c>
      <c r="H64" s="714" t="s">
        <v>747</v>
      </c>
      <c r="I64" s="714">
        <v>1399</v>
      </c>
      <c r="J64" s="714" t="s">
        <v>25</v>
      </c>
      <c r="K64" s="97">
        <v>0</v>
      </c>
      <c r="L64" s="482"/>
      <c r="M64" s="44" t="s">
        <v>42</v>
      </c>
      <c r="N64" s="33"/>
      <c r="O64" s="660"/>
      <c r="P64" s="794" t="s">
        <v>1121</v>
      </c>
      <c r="Q64" s="29"/>
      <c r="R64" s="29"/>
    </row>
    <row r="65" spans="1:18" s="461" customFormat="1" ht="50.45" customHeight="1">
      <c r="A65" s="354">
        <v>59</v>
      </c>
      <c r="B65" s="6" t="s">
        <v>75</v>
      </c>
      <c r="C65" s="90"/>
      <c r="D65" s="718" t="s">
        <v>643</v>
      </c>
      <c r="E65" s="40" t="s">
        <v>398</v>
      </c>
      <c r="F65" s="846"/>
      <c r="G65" s="714" t="s">
        <v>23</v>
      </c>
      <c r="H65" s="714" t="s">
        <v>747</v>
      </c>
      <c r="I65" s="714">
        <v>1399</v>
      </c>
      <c r="J65" s="714" t="s">
        <v>25</v>
      </c>
      <c r="K65" s="97">
        <v>0</v>
      </c>
      <c r="L65" s="482"/>
      <c r="M65" s="44" t="s">
        <v>42</v>
      </c>
      <c r="N65" s="33"/>
      <c r="O65" s="660"/>
      <c r="P65" s="795"/>
      <c r="Q65" s="29"/>
      <c r="R65" s="29"/>
    </row>
    <row r="66" spans="1:18" s="461" customFormat="1" ht="49.9" customHeight="1">
      <c r="A66" s="354">
        <v>60</v>
      </c>
      <c r="B66" s="6" t="s">
        <v>75</v>
      </c>
      <c r="C66" s="90"/>
      <c r="D66" s="718" t="s">
        <v>643</v>
      </c>
      <c r="E66" s="40" t="s">
        <v>397</v>
      </c>
      <c r="F66" s="846"/>
      <c r="G66" s="714" t="s">
        <v>23</v>
      </c>
      <c r="H66" s="714" t="s">
        <v>747</v>
      </c>
      <c r="I66" s="714">
        <v>1399</v>
      </c>
      <c r="J66" s="714" t="s">
        <v>25</v>
      </c>
      <c r="K66" s="97">
        <v>0</v>
      </c>
      <c r="L66" s="482"/>
      <c r="M66" s="44" t="s">
        <v>42</v>
      </c>
      <c r="N66" s="33"/>
      <c r="O66" s="660"/>
      <c r="P66" s="660" t="s">
        <v>1136</v>
      </c>
      <c r="Q66" s="29"/>
      <c r="R66" s="29"/>
    </row>
    <row r="67" spans="1:18" s="461" customFormat="1" ht="49.9" customHeight="1">
      <c r="A67" s="354">
        <v>61</v>
      </c>
      <c r="B67" s="6" t="s">
        <v>75</v>
      </c>
      <c r="C67" s="90"/>
      <c r="D67" s="718" t="s">
        <v>643</v>
      </c>
      <c r="E67" s="40" t="s">
        <v>396</v>
      </c>
      <c r="F67" s="846"/>
      <c r="G67" s="714" t="s">
        <v>23</v>
      </c>
      <c r="H67" s="714" t="s">
        <v>747</v>
      </c>
      <c r="I67" s="714">
        <v>1399</v>
      </c>
      <c r="J67" s="714" t="s">
        <v>25</v>
      </c>
      <c r="K67" s="97">
        <v>0</v>
      </c>
      <c r="L67" s="482"/>
      <c r="M67" s="44" t="s">
        <v>42</v>
      </c>
      <c r="N67" s="33"/>
      <c r="O67" s="660"/>
      <c r="P67" s="660" t="s">
        <v>1947</v>
      </c>
      <c r="Q67" s="29"/>
      <c r="R67" s="29"/>
    </row>
    <row r="68" spans="1:18" s="461" customFormat="1" ht="54.6" customHeight="1">
      <c r="A68" s="354">
        <v>62</v>
      </c>
      <c r="B68" s="6" t="s">
        <v>75</v>
      </c>
      <c r="C68" s="90"/>
      <c r="D68" s="718" t="s">
        <v>643</v>
      </c>
      <c r="E68" s="40" t="s">
        <v>395</v>
      </c>
      <c r="F68" s="846"/>
      <c r="G68" s="714" t="s">
        <v>23</v>
      </c>
      <c r="H68" s="714" t="s">
        <v>747</v>
      </c>
      <c r="I68" s="714">
        <v>1399</v>
      </c>
      <c r="J68" s="714" t="s">
        <v>25</v>
      </c>
      <c r="K68" s="97">
        <v>0</v>
      </c>
      <c r="L68" s="482"/>
      <c r="M68" s="44" t="s">
        <v>42</v>
      </c>
      <c r="N68" s="33"/>
      <c r="O68" s="666"/>
      <c r="P68" s="660" t="s">
        <v>1136</v>
      </c>
      <c r="Q68" s="29"/>
      <c r="R68" s="29"/>
    </row>
    <row r="69" spans="1:18" s="461" customFormat="1" ht="60.6" customHeight="1">
      <c r="A69" s="354">
        <v>63</v>
      </c>
      <c r="B69" s="6" t="s">
        <v>75</v>
      </c>
      <c r="C69" s="90"/>
      <c r="D69" s="718" t="s">
        <v>643</v>
      </c>
      <c r="E69" s="40" t="s">
        <v>394</v>
      </c>
      <c r="F69" s="847"/>
      <c r="G69" s="714" t="s">
        <v>23</v>
      </c>
      <c r="H69" s="714" t="s">
        <v>747</v>
      </c>
      <c r="I69" s="714">
        <v>1399</v>
      </c>
      <c r="J69" s="714" t="s">
        <v>25</v>
      </c>
      <c r="K69" s="97">
        <v>0</v>
      </c>
      <c r="L69" s="482"/>
      <c r="M69" s="44" t="s">
        <v>42</v>
      </c>
      <c r="N69" s="33"/>
      <c r="O69" s="660"/>
      <c r="P69" s="660" t="s">
        <v>1136</v>
      </c>
      <c r="Q69" s="29"/>
      <c r="R69" s="29"/>
    </row>
    <row r="70" spans="1:18" s="552" customFormat="1" ht="61.5" customHeight="1">
      <c r="A70" s="354">
        <v>64</v>
      </c>
      <c r="B70" s="6" t="s">
        <v>75</v>
      </c>
      <c r="C70" s="6"/>
      <c r="D70" s="196" t="s">
        <v>130</v>
      </c>
      <c r="E70" s="196" t="s">
        <v>142</v>
      </c>
      <c r="F70" s="47">
        <v>1282840</v>
      </c>
      <c r="G70" s="354" t="s">
        <v>23</v>
      </c>
      <c r="H70" s="354" t="s">
        <v>77</v>
      </c>
      <c r="I70" s="354">
        <v>1399</v>
      </c>
      <c r="J70" s="354" t="s">
        <v>25</v>
      </c>
      <c r="K70" s="288"/>
      <c r="L70" s="33" t="s">
        <v>72</v>
      </c>
      <c r="M70" s="564"/>
      <c r="N70" s="623" t="s">
        <v>581</v>
      </c>
      <c r="O70" s="236" t="s">
        <v>1833</v>
      </c>
      <c r="P70" s="553"/>
    </row>
    <row r="71" spans="1:18" s="552" customFormat="1" ht="61.5" customHeight="1">
      <c r="A71" s="354">
        <v>65</v>
      </c>
      <c r="B71" s="6" t="s">
        <v>75</v>
      </c>
      <c r="C71" s="6"/>
      <c r="D71" s="196" t="s">
        <v>130</v>
      </c>
      <c r="E71" s="22" t="s">
        <v>143</v>
      </c>
      <c r="F71" s="47">
        <v>1028542</v>
      </c>
      <c r="G71" s="354" t="s">
        <v>23</v>
      </c>
      <c r="H71" s="354" t="s">
        <v>77</v>
      </c>
      <c r="I71" s="354">
        <v>1399</v>
      </c>
      <c r="J71" s="354" t="s">
        <v>25</v>
      </c>
      <c r="K71" s="288"/>
      <c r="L71" s="33" t="s">
        <v>72</v>
      </c>
      <c r="M71" s="33"/>
      <c r="N71" s="623" t="s">
        <v>581</v>
      </c>
      <c r="O71" s="236" t="s">
        <v>1833</v>
      </c>
      <c r="P71" s="553"/>
    </row>
  </sheetData>
  <autoFilter ref="D1:D55"/>
  <mergeCells count="19">
    <mergeCell ref="A1:P4"/>
    <mergeCell ref="A5:A6"/>
    <mergeCell ref="B5:B6"/>
    <mergeCell ref="C5:C6"/>
    <mergeCell ref="D5:D6"/>
    <mergeCell ref="E5:E6"/>
    <mergeCell ref="F5:H5"/>
    <mergeCell ref="L5:M5"/>
    <mergeCell ref="P5:P6"/>
    <mergeCell ref="N5:N6"/>
    <mergeCell ref="O5:O6"/>
    <mergeCell ref="I5:I6"/>
    <mergeCell ref="J5:J6"/>
    <mergeCell ref="K5:K6"/>
    <mergeCell ref="D58:D59"/>
    <mergeCell ref="F64:F69"/>
    <mergeCell ref="P64:P65"/>
    <mergeCell ref="X34:AI34"/>
    <mergeCell ref="D10:D11"/>
  </mergeCells>
  <printOptions horizontalCentered="1"/>
  <pageMargins left="0.2" right="0.2" top="0.5" bottom="0.5" header="0.3" footer="0.3"/>
  <pageSetup paperSize="9" scale="42"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sheetPr>
    <tabColor rgb="FF92D050"/>
  </sheetPr>
  <dimension ref="A1:P77"/>
  <sheetViews>
    <sheetView rightToLeft="1" topLeftCell="B72" zoomScale="84" zoomScaleNormal="84" zoomScaleSheetLayoutView="70" workbookViewId="0">
      <selection activeCell="K81" sqref="K81"/>
    </sheetView>
  </sheetViews>
  <sheetFormatPr defaultColWidth="9.140625" defaultRowHeight="15"/>
  <cols>
    <col min="1" max="1" width="11.140625" style="145" customWidth="1"/>
    <col min="2" max="2" width="17" style="145" customWidth="1"/>
    <col min="3" max="3" width="14.42578125" style="145" customWidth="1"/>
    <col min="4" max="4" width="27.5703125" style="145" customWidth="1"/>
    <col min="5" max="5" width="27.140625" style="145" customWidth="1"/>
    <col min="6" max="6" width="15.5703125" style="145" customWidth="1"/>
    <col min="7" max="7" width="12.28515625" style="145" customWidth="1"/>
    <col min="8" max="8" width="15.28515625" style="145" customWidth="1"/>
    <col min="9" max="9" width="14.85546875" style="145" customWidth="1"/>
    <col min="10" max="10" width="16.85546875" style="145" customWidth="1"/>
    <col min="11" max="12" width="9.140625" style="145"/>
    <col min="13" max="13" width="16.140625" style="145" customWidth="1"/>
    <col min="14" max="14" width="21.85546875" style="9" customWidth="1"/>
    <col min="15" max="15" width="20.42578125" style="9" customWidth="1"/>
    <col min="16" max="16" width="24.28515625" style="145" customWidth="1"/>
    <col min="17" max="16384" width="9.140625" style="145"/>
  </cols>
  <sheetData>
    <row r="1" spans="1:16">
      <c r="A1" s="848" t="s">
        <v>1959</v>
      </c>
      <c r="B1" s="849"/>
      <c r="C1" s="849"/>
      <c r="D1" s="849"/>
      <c r="E1" s="849"/>
      <c r="F1" s="849"/>
      <c r="G1" s="849"/>
      <c r="H1" s="849"/>
      <c r="I1" s="849"/>
      <c r="J1" s="849"/>
      <c r="K1" s="849"/>
      <c r="L1" s="849"/>
      <c r="M1" s="849"/>
      <c r="N1" s="849"/>
      <c r="O1" s="849"/>
      <c r="P1" s="850"/>
    </row>
    <row r="2" spans="1:16">
      <c r="A2" s="851"/>
      <c r="B2" s="815"/>
      <c r="C2" s="815"/>
      <c r="D2" s="815"/>
      <c r="E2" s="815"/>
      <c r="F2" s="815"/>
      <c r="G2" s="815"/>
      <c r="H2" s="815"/>
      <c r="I2" s="815"/>
      <c r="J2" s="815"/>
      <c r="K2" s="815"/>
      <c r="L2" s="815"/>
      <c r="M2" s="815"/>
      <c r="N2" s="815"/>
      <c r="O2" s="815"/>
      <c r="P2" s="852"/>
    </row>
    <row r="3" spans="1:16">
      <c r="A3" s="851"/>
      <c r="B3" s="815"/>
      <c r="C3" s="815"/>
      <c r="D3" s="815"/>
      <c r="E3" s="815"/>
      <c r="F3" s="815"/>
      <c r="G3" s="815"/>
      <c r="H3" s="815"/>
      <c r="I3" s="815"/>
      <c r="J3" s="815"/>
      <c r="K3" s="815"/>
      <c r="L3" s="815"/>
      <c r="M3" s="815"/>
      <c r="N3" s="815"/>
      <c r="O3" s="815"/>
      <c r="P3" s="852"/>
    </row>
    <row r="4" spans="1:16" ht="60.75" customHeight="1">
      <c r="A4" s="851"/>
      <c r="B4" s="815"/>
      <c r="C4" s="815"/>
      <c r="D4" s="815"/>
      <c r="E4" s="815"/>
      <c r="F4" s="815"/>
      <c r="G4" s="815"/>
      <c r="H4" s="815"/>
      <c r="I4" s="815"/>
      <c r="J4" s="815"/>
      <c r="K4" s="815"/>
      <c r="L4" s="815"/>
      <c r="M4" s="815"/>
      <c r="N4" s="815"/>
      <c r="O4" s="815"/>
      <c r="P4" s="852"/>
    </row>
    <row r="5" spans="1:16" ht="21" customHeight="1">
      <c r="A5" s="853" t="s">
        <v>0</v>
      </c>
      <c r="B5" s="791" t="s">
        <v>14</v>
      </c>
      <c r="C5" s="791" t="s">
        <v>18</v>
      </c>
      <c r="D5" s="791" t="s">
        <v>1</v>
      </c>
      <c r="E5" s="791" t="s">
        <v>15</v>
      </c>
      <c r="F5" s="791" t="s">
        <v>9</v>
      </c>
      <c r="G5" s="791"/>
      <c r="H5" s="791"/>
      <c r="I5" s="791" t="s">
        <v>7</v>
      </c>
      <c r="J5" s="791" t="s">
        <v>6</v>
      </c>
      <c r="K5" s="791" t="s">
        <v>16</v>
      </c>
      <c r="L5" s="791" t="s">
        <v>2</v>
      </c>
      <c r="M5" s="791"/>
      <c r="N5" s="837" t="s">
        <v>5</v>
      </c>
      <c r="O5" s="837" t="s">
        <v>13</v>
      </c>
      <c r="P5" s="854" t="s">
        <v>8</v>
      </c>
    </row>
    <row r="6" spans="1:16" ht="32.450000000000003" customHeight="1">
      <c r="A6" s="853"/>
      <c r="B6" s="791"/>
      <c r="C6" s="791"/>
      <c r="D6" s="791"/>
      <c r="E6" s="791"/>
      <c r="F6" s="415" t="s">
        <v>10</v>
      </c>
      <c r="G6" s="415" t="s">
        <v>11</v>
      </c>
      <c r="H6" s="415" t="s">
        <v>12</v>
      </c>
      <c r="I6" s="791"/>
      <c r="J6" s="791"/>
      <c r="K6" s="791"/>
      <c r="L6" s="415" t="s">
        <v>3</v>
      </c>
      <c r="M6" s="415" t="s">
        <v>4</v>
      </c>
      <c r="N6" s="837"/>
      <c r="O6" s="837"/>
      <c r="P6" s="854"/>
    </row>
    <row r="7" spans="1:16" s="574" customFormat="1" ht="36">
      <c r="A7" s="431">
        <v>1</v>
      </c>
      <c r="B7" s="43" t="s">
        <v>75</v>
      </c>
      <c r="C7" s="354" t="s">
        <v>1628</v>
      </c>
      <c r="D7" s="33" t="s">
        <v>320</v>
      </c>
      <c r="E7" s="572" t="s">
        <v>1629</v>
      </c>
      <c r="F7" s="479">
        <v>445000</v>
      </c>
      <c r="G7" s="354" t="s">
        <v>23</v>
      </c>
      <c r="H7" s="354" t="s">
        <v>77</v>
      </c>
      <c r="I7" s="354">
        <v>1399</v>
      </c>
      <c r="J7" s="354" t="s">
        <v>25</v>
      </c>
      <c r="K7" s="48">
        <v>1</v>
      </c>
      <c r="L7" s="354"/>
      <c r="M7" s="354" t="s">
        <v>33</v>
      </c>
      <c r="N7" s="232"/>
      <c r="O7" s="232"/>
      <c r="P7" s="601"/>
    </row>
    <row r="8" spans="1:16" s="574" customFormat="1" ht="36">
      <c r="A8" s="431">
        <v>2</v>
      </c>
      <c r="B8" s="43" t="s">
        <v>75</v>
      </c>
      <c r="C8" s="578" t="s">
        <v>1201</v>
      </c>
      <c r="D8" s="33" t="s">
        <v>320</v>
      </c>
      <c r="E8" s="44" t="s">
        <v>1630</v>
      </c>
      <c r="F8" s="30">
        <v>50000</v>
      </c>
      <c r="G8" s="354" t="s">
        <v>23</v>
      </c>
      <c r="H8" s="354" t="s">
        <v>77</v>
      </c>
      <c r="I8" s="354">
        <v>1399</v>
      </c>
      <c r="J8" s="354" t="s">
        <v>25</v>
      </c>
      <c r="K8" s="48">
        <v>1</v>
      </c>
      <c r="L8" s="354"/>
      <c r="M8" s="354" t="s">
        <v>33</v>
      </c>
      <c r="N8" s="232"/>
      <c r="O8" s="232"/>
      <c r="P8" s="601"/>
    </row>
    <row r="9" spans="1:16" s="574" customFormat="1" ht="36">
      <c r="A9" s="431">
        <v>3</v>
      </c>
      <c r="B9" s="43" t="s">
        <v>75</v>
      </c>
      <c r="C9" s="578" t="s">
        <v>1201</v>
      </c>
      <c r="D9" s="33" t="s">
        <v>320</v>
      </c>
      <c r="E9" s="33" t="s">
        <v>1548</v>
      </c>
      <c r="F9" s="30">
        <v>40000</v>
      </c>
      <c r="G9" s="354" t="s">
        <v>23</v>
      </c>
      <c r="H9" s="354" t="s">
        <v>77</v>
      </c>
      <c r="I9" s="354">
        <v>1399</v>
      </c>
      <c r="J9" s="354" t="s">
        <v>25</v>
      </c>
      <c r="K9" s="48">
        <v>1</v>
      </c>
      <c r="L9" s="354"/>
      <c r="M9" s="354" t="s">
        <v>33</v>
      </c>
      <c r="N9" s="232"/>
      <c r="O9" s="232"/>
      <c r="P9" s="601"/>
    </row>
    <row r="10" spans="1:16" s="574" customFormat="1" ht="36">
      <c r="A10" s="431">
        <v>4</v>
      </c>
      <c r="B10" s="43" t="s">
        <v>75</v>
      </c>
      <c r="C10" s="578" t="s">
        <v>1201</v>
      </c>
      <c r="D10" s="33" t="s">
        <v>320</v>
      </c>
      <c r="E10" s="33" t="s">
        <v>1631</v>
      </c>
      <c r="F10" s="30">
        <v>315000</v>
      </c>
      <c r="G10" s="354" t="s">
        <v>23</v>
      </c>
      <c r="H10" s="354" t="s">
        <v>77</v>
      </c>
      <c r="I10" s="354">
        <v>1399</v>
      </c>
      <c r="J10" s="354" t="s">
        <v>25</v>
      </c>
      <c r="K10" s="48">
        <v>1</v>
      </c>
      <c r="L10" s="354"/>
      <c r="M10" s="354" t="s">
        <v>33</v>
      </c>
      <c r="N10" s="232"/>
      <c r="O10" s="232"/>
      <c r="P10" s="601"/>
    </row>
    <row r="11" spans="1:16" s="574" customFormat="1" ht="36">
      <c r="A11" s="431">
        <v>5</v>
      </c>
      <c r="B11" s="43" t="s">
        <v>75</v>
      </c>
      <c r="C11" s="578" t="s">
        <v>1201</v>
      </c>
      <c r="D11" s="33" t="s">
        <v>320</v>
      </c>
      <c r="E11" s="33" t="s">
        <v>1632</v>
      </c>
      <c r="F11" s="30">
        <v>250000</v>
      </c>
      <c r="G11" s="354" t="s">
        <v>23</v>
      </c>
      <c r="H11" s="354" t="s">
        <v>77</v>
      </c>
      <c r="I11" s="354">
        <v>1399</v>
      </c>
      <c r="J11" s="354" t="s">
        <v>25</v>
      </c>
      <c r="K11" s="48">
        <v>1</v>
      </c>
      <c r="L11" s="354"/>
      <c r="M11" s="354" t="s">
        <v>33</v>
      </c>
      <c r="N11" s="232"/>
      <c r="O11" s="232"/>
      <c r="P11" s="601"/>
    </row>
    <row r="12" spans="1:16" s="574" customFormat="1" ht="72">
      <c r="A12" s="431">
        <v>6</v>
      </c>
      <c r="B12" s="43" t="s">
        <v>75</v>
      </c>
      <c r="C12" s="578" t="s">
        <v>1201</v>
      </c>
      <c r="D12" s="33" t="s">
        <v>320</v>
      </c>
      <c r="E12" s="33" t="s">
        <v>1551</v>
      </c>
      <c r="F12" s="30">
        <v>1250000</v>
      </c>
      <c r="G12" s="354" t="s">
        <v>23</v>
      </c>
      <c r="H12" s="354" t="s">
        <v>77</v>
      </c>
      <c r="I12" s="354">
        <v>1399</v>
      </c>
      <c r="J12" s="354" t="s">
        <v>25</v>
      </c>
      <c r="K12" s="48">
        <v>1</v>
      </c>
      <c r="L12" s="354"/>
      <c r="M12" s="354" t="s">
        <v>33</v>
      </c>
      <c r="N12" s="232"/>
      <c r="O12" s="232"/>
      <c r="P12" s="601"/>
    </row>
    <row r="13" spans="1:16" s="574" customFormat="1" ht="54">
      <c r="A13" s="431">
        <v>7</v>
      </c>
      <c r="B13" s="43" t="s">
        <v>75</v>
      </c>
      <c r="C13" s="578" t="s">
        <v>1201</v>
      </c>
      <c r="D13" s="33" t="s">
        <v>320</v>
      </c>
      <c r="E13" s="33" t="s">
        <v>1552</v>
      </c>
      <c r="F13" s="30">
        <v>1250000</v>
      </c>
      <c r="G13" s="354" t="s">
        <v>23</v>
      </c>
      <c r="H13" s="354" t="s">
        <v>77</v>
      </c>
      <c r="I13" s="354">
        <v>1399</v>
      </c>
      <c r="J13" s="354" t="s">
        <v>25</v>
      </c>
      <c r="K13" s="48">
        <v>1</v>
      </c>
      <c r="L13" s="354"/>
      <c r="M13" s="354" t="s">
        <v>33</v>
      </c>
      <c r="N13" s="232"/>
      <c r="O13" s="232"/>
      <c r="P13" s="601"/>
    </row>
    <row r="14" spans="1:16" s="574" customFormat="1" ht="36">
      <c r="A14" s="431">
        <v>8</v>
      </c>
      <c r="B14" s="43" t="s">
        <v>75</v>
      </c>
      <c r="C14" s="578" t="s">
        <v>1201</v>
      </c>
      <c r="D14" s="33" t="s">
        <v>320</v>
      </c>
      <c r="E14" s="33" t="s">
        <v>1553</v>
      </c>
      <c r="F14" s="30">
        <v>2400000</v>
      </c>
      <c r="G14" s="354" t="s">
        <v>23</v>
      </c>
      <c r="H14" s="354" t="s">
        <v>77</v>
      </c>
      <c r="I14" s="354">
        <v>1399</v>
      </c>
      <c r="J14" s="354" t="s">
        <v>25</v>
      </c>
      <c r="K14" s="48" t="s">
        <v>17</v>
      </c>
      <c r="L14" s="354" t="s">
        <v>3</v>
      </c>
      <c r="M14" s="354"/>
      <c r="N14" s="6" t="s">
        <v>1633</v>
      </c>
      <c r="O14" s="6" t="s">
        <v>1634</v>
      </c>
      <c r="P14" s="602"/>
    </row>
    <row r="15" spans="1:16" s="574" customFormat="1" ht="36">
      <c r="A15" s="431">
        <v>9</v>
      </c>
      <c r="B15" s="43" t="s">
        <v>75</v>
      </c>
      <c r="C15" s="578" t="s">
        <v>1201</v>
      </c>
      <c r="D15" s="33" t="s">
        <v>320</v>
      </c>
      <c r="E15" s="33" t="s">
        <v>1635</v>
      </c>
      <c r="F15" s="30">
        <v>3000000</v>
      </c>
      <c r="G15" s="354" t="s">
        <v>23</v>
      </c>
      <c r="H15" s="354" t="s">
        <v>77</v>
      </c>
      <c r="I15" s="354">
        <v>1399</v>
      </c>
      <c r="J15" s="354" t="s">
        <v>25</v>
      </c>
      <c r="K15" s="48">
        <v>1</v>
      </c>
      <c r="L15" s="354"/>
      <c r="M15" s="354" t="s">
        <v>33</v>
      </c>
      <c r="N15" s="232"/>
      <c r="O15" s="232"/>
      <c r="P15" s="601"/>
    </row>
    <row r="16" spans="1:16" s="574" customFormat="1" ht="36">
      <c r="A16" s="431">
        <v>10</v>
      </c>
      <c r="B16" s="43" t="s">
        <v>75</v>
      </c>
      <c r="C16" s="578" t="s">
        <v>1201</v>
      </c>
      <c r="D16" s="33" t="s">
        <v>320</v>
      </c>
      <c r="E16" s="33" t="s">
        <v>1636</v>
      </c>
      <c r="F16" s="30">
        <v>200000</v>
      </c>
      <c r="G16" s="354" t="s">
        <v>23</v>
      </c>
      <c r="H16" s="354" t="s">
        <v>77</v>
      </c>
      <c r="I16" s="354">
        <v>1399</v>
      </c>
      <c r="J16" s="354" t="s">
        <v>25</v>
      </c>
      <c r="K16" s="48">
        <v>1</v>
      </c>
      <c r="L16" s="354"/>
      <c r="M16" s="354" t="s">
        <v>33</v>
      </c>
      <c r="N16" s="232"/>
      <c r="O16" s="232"/>
      <c r="P16" s="601"/>
    </row>
    <row r="17" spans="1:16" s="574" customFormat="1" ht="36">
      <c r="A17" s="431">
        <v>11</v>
      </c>
      <c r="B17" s="43" t="s">
        <v>75</v>
      </c>
      <c r="C17" s="578" t="s">
        <v>1201</v>
      </c>
      <c r="D17" s="33" t="s">
        <v>320</v>
      </c>
      <c r="E17" s="33" t="s">
        <v>1637</v>
      </c>
      <c r="F17" s="30">
        <v>60000</v>
      </c>
      <c r="G17" s="354" t="s">
        <v>23</v>
      </c>
      <c r="H17" s="354" t="s">
        <v>77</v>
      </c>
      <c r="I17" s="354">
        <v>1399</v>
      </c>
      <c r="J17" s="354" t="s">
        <v>25</v>
      </c>
      <c r="K17" s="48">
        <v>1</v>
      </c>
      <c r="L17" s="354"/>
      <c r="M17" s="354" t="s">
        <v>33</v>
      </c>
      <c r="N17" s="232"/>
      <c r="O17" s="232"/>
      <c r="P17" s="601"/>
    </row>
    <row r="18" spans="1:16" s="574" customFormat="1" ht="19.5">
      <c r="A18" s="431">
        <v>12</v>
      </c>
      <c r="B18" s="32" t="s">
        <v>75</v>
      </c>
      <c r="C18" s="32" t="s">
        <v>1638</v>
      </c>
      <c r="D18" s="33" t="s">
        <v>1517</v>
      </c>
      <c r="E18" s="33" t="s">
        <v>1639</v>
      </c>
      <c r="F18" s="30">
        <v>7130080</v>
      </c>
      <c r="G18" s="354" t="s">
        <v>23</v>
      </c>
      <c r="H18" s="354" t="s">
        <v>77</v>
      </c>
      <c r="I18" s="354">
        <v>1399</v>
      </c>
      <c r="J18" s="354" t="s">
        <v>25</v>
      </c>
      <c r="K18" s="48">
        <v>1</v>
      </c>
      <c r="L18" s="179"/>
      <c r="M18" s="354" t="s">
        <v>33</v>
      </c>
      <c r="N18" s="232"/>
      <c r="O18" s="232"/>
      <c r="P18" s="601"/>
    </row>
    <row r="19" spans="1:16" ht="36">
      <c r="A19" s="431">
        <v>13</v>
      </c>
      <c r="B19" s="43" t="s">
        <v>75</v>
      </c>
      <c r="C19" s="43" t="s">
        <v>744</v>
      </c>
      <c r="D19" s="416" t="s">
        <v>28</v>
      </c>
      <c r="E19" s="416" t="s">
        <v>743</v>
      </c>
      <c r="F19" s="417">
        <v>135000</v>
      </c>
      <c r="G19" s="354" t="s">
        <v>23</v>
      </c>
      <c r="H19" s="354" t="s">
        <v>77</v>
      </c>
      <c r="I19" s="354">
        <v>1399</v>
      </c>
      <c r="J19" s="354" t="s">
        <v>25</v>
      </c>
      <c r="K19" s="48">
        <v>1</v>
      </c>
      <c r="L19" s="82"/>
      <c r="M19" s="354" t="s">
        <v>33</v>
      </c>
      <c r="N19" s="421"/>
      <c r="O19" s="421"/>
      <c r="P19" s="432"/>
    </row>
    <row r="20" spans="1:16" ht="36">
      <c r="A20" s="431">
        <v>14</v>
      </c>
      <c r="B20" s="43" t="s">
        <v>75</v>
      </c>
      <c r="C20" s="43" t="s">
        <v>742</v>
      </c>
      <c r="D20" s="416" t="s">
        <v>28</v>
      </c>
      <c r="E20" s="424" t="s">
        <v>741</v>
      </c>
      <c r="F20" s="417">
        <v>17220000</v>
      </c>
      <c r="G20" s="354" t="s">
        <v>23</v>
      </c>
      <c r="H20" s="354" t="s">
        <v>77</v>
      </c>
      <c r="I20" s="354">
        <v>1399</v>
      </c>
      <c r="J20" s="354" t="s">
        <v>25</v>
      </c>
      <c r="K20" s="48">
        <v>1</v>
      </c>
      <c r="L20" s="425"/>
      <c r="M20" s="354" t="s">
        <v>33</v>
      </c>
      <c r="N20" s="421"/>
      <c r="O20" s="419"/>
      <c r="P20" s="433" t="s">
        <v>17</v>
      </c>
    </row>
    <row r="21" spans="1:16" ht="54">
      <c r="A21" s="431">
        <v>15</v>
      </c>
      <c r="B21" s="43" t="s">
        <v>75</v>
      </c>
      <c r="C21" s="43" t="s">
        <v>740</v>
      </c>
      <c r="D21" s="416" t="s">
        <v>116</v>
      </c>
      <c r="E21" s="424" t="s">
        <v>117</v>
      </c>
      <c r="F21" s="417">
        <v>1280000</v>
      </c>
      <c r="G21" s="354" t="s">
        <v>23</v>
      </c>
      <c r="H21" s="354" t="s">
        <v>77</v>
      </c>
      <c r="I21" s="354">
        <v>1399</v>
      </c>
      <c r="J21" s="354" t="s">
        <v>25</v>
      </c>
      <c r="K21" s="48">
        <v>1</v>
      </c>
      <c r="L21" s="82"/>
      <c r="M21" s="354" t="s">
        <v>33</v>
      </c>
      <c r="N21" s="421"/>
      <c r="O21" s="421"/>
      <c r="P21" s="434"/>
    </row>
    <row r="22" spans="1:16" ht="72">
      <c r="A22" s="431">
        <v>16</v>
      </c>
      <c r="B22" s="43" t="s">
        <v>75</v>
      </c>
      <c r="C22" s="43" t="s">
        <v>740</v>
      </c>
      <c r="D22" s="416" t="s">
        <v>116</v>
      </c>
      <c r="E22" s="424" t="s">
        <v>131</v>
      </c>
      <c r="F22" s="417">
        <v>52000</v>
      </c>
      <c r="G22" s="354" t="s">
        <v>23</v>
      </c>
      <c r="H22" s="354" t="s">
        <v>77</v>
      </c>
      <c r="I22" s="354">
        <v>1399</v>
      </c>
      <c r="J22" s="354" t="s">
        <v>25</v>
      </c>
      <c r="K22" s="48">
        <v>1</v>
      </c>
      <c r="L22" s="82"/>
      <c r="M22" s="354" t="s">
        <v>33</v>
      </c>
      <c r="N22" s="421"/>
      <c r="O22" s="421"/>
      <c r="P22" s="434"/>
    </row>
    <row r="23" spans="1:16" ht="409.5">
      <c r="A23" s="431">
        <v>17</v>
      </c>
      <c r="B23" s="43" t="s">
        <v>75</v>
      </c>
      <c r="C23" s="354" t="s">
        <v>739</v>
      </c>
      <c r="D23" s="424" t="s">
        <v>55</v>
      </c>
      <c r="E23" s="419" t="s">
        <v>738</v>
      </c>
      <c r="F23" s="417">
        <v>1999600</v>
      </c>
      <c r="G23" s="354" t="s">
        <v>23</v>
      </c>
      <c r="H23" s="354" t="s">
        <v>77</v>
      </c>
      <c r="I23" s="354">
        <v>1399</v>
      </c>
      <c r="J23" s="354" t="s">
        <v>25</v>
      </c>
      <c r="K23" s="219">
        <v>1</v>
      </c>
      <c r="L23" s="82"/>
      <c r="M23" s="82" t="s">
        <v>33</v>
      </c>
      <c r="N23" s="421"/>
      <c r="O23" s="421"/>
      <c r="P23" s="434"/>
    </row>
    <row r="24" spans="1:16" ht="36">
      <c r="A24" s="431">
        <v>18</v>
      </c>
      <c r="B24" s="43" t="s">
        <v>75</v>
      </c>
      <c r="C24" s="82" t="s">
        <v>372</v>
      </c>
      <c r="D24" s="416" t="s">
        <v>31</v>
      </c>
      <c r="E24" s="424" t="s">
        <v>146</v>
      </c>
      <c r="F24" s="417">
        <v>1500000</v>
      </c>
      <c r="G24" s="354" t="s">
        <v>23</v>
      </c>
      <c r="H24" s="354" t="s">
        <v>77</v>
      </c>
      <c r="I24" s="354">
        <v>1399</v>
      </c>
      <c r="J24" s="354" t="s">
        <v>25</v>
      </c>
      <c r="K24" s="219" t="s">
        <v>17</v>
      </c>
      <c r="L24" s="82" t="s">
        <v>3</v>
      </c>
      <c r="M24" s="82"/>
      <c r="N24" s="421" t="s">
        <v>737</v>
      </c>
      <c r="O24" s="421" t="s">
        <v>736</v>
      </c>
      <c r="P24" s="434"/>
    </row>
    <row r="25" spans="1:16" ht="36">
      <c r="A25" s="431">
        <v>19</v>
      </c>
      <c r="B25" s="43" t="s">
        <v>75</v>
      </c>
      <c r="C25" s="82" t="s">
        <v>529</v>
      </c>
      <c r="D25" s="416" t="s">
        <v>31</v>
      </c>
      <c r="E25" s="424" t="s">
        <v>119</v>
      </c>
      <c r="F25" s="417">
        <v>565500</v>
      </c>
      <c r="G25" s="354" t="s">
        <v>23</v>
      </c>
      <c r="H25" s="354" t="s">
        <v>77</v>
      </c>
      <c r="I25" s="354">
        <v>1399</v>
      </c>
      <c r="J25" s="354" t="s">
        <v>25</v>
      </c>
      <c r="K25" s="219">
        <v>1</v>
      </c>
      <c r="L25" s="218"/>
      <c r="M25" s="82" t="s">
        <v>39</v>
      </c>
      <c r="N25" s="228"/>
      <c r="O25" s="6"/>
      <c r="P25" s="434"/>
    </row>
    <row r="26" spans="1:16" ht="36">
      <c r="A26" s="431">
        <v>20</v>
      </c>
      <c r="B26" s="43" t="s">
        <v>75</v>
      </c>
      <c r="C26" s="82" t="s">
        <v>529</v>
      </c>
      <c r="D26" s="416" t="s">
        <v>31</v>
      </c>
      <c r="E26" s="424" t="s">
        <v>120</v>
      </c>
      <c r="F26" s="417">
        <v>502773</v>
      </c>
      <c r="G26" s="354" t="s">
        <v>23</v>
      </c>
      <c r="H26" s="354" t="s">
        <v>77</v>
      </c>
      <c r="I26" s="354">
        <v>1399</v>
      </c>
      <c r="J26" s="354" t="s">
        <v>25</v>
      </c>
      <c r="K26" s="219">
        <v>1</v>
      </c>
      <c r="L26" s="218"/>
      <c r="M26" s="82" t="s">
        <v>39</v>
      </c>
      <c r="N26" s="228"/>
      <c r="O26" s="6"/>
      <c r="P26" s="434"/>
    </row>
    <row r="27" spans="1:16" ht="36">
      <c r="A27" s="431">
        <v>21</v>
      </c>
      <c r="B27" s="43" t="s">
        <v>75</v>
      </c>
      <c r="C27" s="82" t="s">
        <v>529</v>
      </c>
      <c r="D27" s="416" t="s">
        <v>31</v>
      </c>
      <c r="E27" s="424" t="s">
        <v>121</v>
      </c>
      <c r="F27" s="417">
        <v>369040</v>
      </c>
      <c r="G27" s="354" t="s">
        <v>23</v>
      </c>
      <c r="H27" s="354" t="s">
        <v>77</v>
      </c>
      <c r="I27" s="354">
        <v>1399</v>
      </c>
      <c r="J27" s="354" t="s">
        <v>25</v>
      </c>
      <c r="K27" s="219">
        <v>1</v>
      </c>
      <c r="L27" s="218"/>
      <c r="M27" s="218" t="s">
        <v>33</v>
      </c>
      <c r="N27" s="228"/>
      <c r="O27" s="6"/>
      <c r="P27" s="434"/>
    </row>
    <row r="28" spans="1:16" ht="36">
      <c r="A28" s="431">
        <v>22</v>
      </c>
      <c r="B28" s="43" t="s">
        <v>75</v>
      </c>
      <c r="C28" s="82" t="s">
        <v>529</v>
      </c>
      <c r="D28" s="416" t="s">
        <v>31</v>
      </c>
      <c r="E28" s="424" t="s">
        <v>122</v>
      </c>
      <c r="F28" s="417">
        <v>266000</v>
      </c>
      <c r="G28" s="354" t="s">
        <v>23</v>
      </c>
      <c r="H28" s="354" t="s">
        <v>77</v>
      </c>
      <c r="I28" s="354">
        <v>1399</v>
      </c>
      <c r="J28" s="354" t="s">
        <v>25</v>
      </c>
      <c r="K28" s="219">
        <v>1</v>
      </c>
      <c r="L28" s="218"/>
      <c r="M28" s="82" t="s">
        <v>33</v>
      </c>
      <c r="N28" s="228"/>
      <c r="O28" s="6"/>
      <c r="P28" s="434"/>
    </row>
    <row r="29" spans="1:16" ht="36">
      <c r="A29" s="431">
        <v>23</v>
      </c>
      <c r="B29" s="43" t="s">
        <v>75</v>
      </c>
      <c r="C29" s="82" t="s">
        <v>372</v>
      </c>
      <c r="D29" s="416" t="s">
        <v>31</v>
      </c>
      <c r="E29" s="424" t="s">
        <v>183</v>
      </c>
      <c r="F29" s="184">
        <v>100000</v>
      </c>
      <c r="G29" s="354" t="s">
        <v>23</v>
      </c>
      <c r="H29" s="354" t="s">
        <v>77</v>
      </c>
      <c r="I29" s="354">
        <v>1399</v>
      </c>
      <c r="J29" s="354" t="s">
        <v>25</v>
      </c>
      <c r="K29" s="219" t="s">
        <v>17</v>
      </c>
      <c r="L29" s="82" t="s">
        <v>72</v>
      </c>
      <c r="M29" s="82"/>
      <c r="N29" s="421" t="s">
        <v>945</v>
      </c>
      <c r="O29" s="421" t="s">
        <v>736</v>
      </c>
      <c r="P29" s="434"/>
    </row>
    <row r="30" spans="1:16" ht="36">
      <c r="A30" s="431">
        <v>24</v>
      </c>
      <c r="B30" s="43" t="s">
        <v>75</v>
      </c>
      <c r="C30" s="82" t="s">
        <v>529</v>
      </c>
      <c r="D30" s="416" t="s">
        <v>31</v>
      </c>
      <c r="E30" s="424" t="s">
        <v>735</v>
      </c>
      <c r="F30" s="417">
        <v>245000</v>
      </c>
      <c r="G30" s="354" t="s">
        <v>23</v>
      </c>
      <c r="H30" s="354" t="s">
        <v>77</v>
      </c>
      <c r="I30" s="354">
        <v>1399</v>
      </c>
      <c r="J30" s="354" t="s">
        <v>25</v>
      </c>
      <c r="K30" s="219">
        <v>1</v>
      </c>
      <c r="L30" s="82"/>
      <c r="M30" s="82" t="s">
        <v>33</v>
      </c>
      <c r="N30" s="228"/>
      <c r="O30" s="6"/>
      <c r="P30" s="434"/>
    </row>
    <row r="31" spans="1:16" ht="54">
      <c r="A31" s="431">
        <v>25</v>
      </c>
      <c r="B31" s="43" t="s">
        <v>75</v>
      </c>
      <c r="C31" s="82" t="s">
        <v>184</v>
      </c>
      <c r="D31" s="169" t="s">
        <v>31</v>
      </c>
      <c r="E31" s="43" t="s">
        <v>734</v>
      </c>
      <c r="F31" s="205">
        <f>58333*4</f>
        <v>233332</v>
      </c>
      <c r="G31" s="354" t="s">
        <v>23</v>
      </c>
      <c r="H31" s="354" t="s">
        <v>77</v>
      </c>
      <c r="I31" s="354">
        <v>1399</v>
      </c>
      <c r="J31" s="354" t="s">
        <v>25</v>
      </c>
      <c r="K31" s="219">
        <v>1</v>
      </c>
      <c r="L31" s="206"/>
      <c r="M31" s="82" t="s">
        <v>33</v>
      </c>
      <c r="N31" s="228"/>
      <c r="O31" s="421"/>
      <c r="P31" s="434"/>
    </row>
    <row r="32" spans="1:16" ht="54">
      <c r="A32" s="431">
        <v>26</v>
      </c>
      <c r="B32" s="43" t="s">
        <v>75</v>
      </c>
      <c r="C32" s="82" t="s">
        <v>372</v>
      </c>
      <c r="D32" s="416" t="s">
        <v>123</v>
      </c>
      <c r="E32" s="424" t="s">
        <v>109</v>
      </c>
      <c r="F32" s="417">
        <v>2000000</v>
      </c>
      <c r="G32" s="354" t="s">
        <v>23</v>
      </c>
      <c r="H32" s="354" t="s">
        <v>77</v>
      </c>
      <c r="I32" s="354">
        <v>1399</v>
      </c>
      <c r="J32" s="354" t="s">
        <v>25</v>
      </c>
      <c r="K32" s="219" t="s">
        <v>17</v>
      </c>
      <c r="L32" s="218" t="s">
        <v>3</v>
      </c>
      <c r="M32" s="82"/>
      <c r="N32" s="421" t="s">
        <v>110</v>
      </c>
      <c r="O32" s="6" t="s">
        <v>733</v>
      </c>
      <c r="P32" s="434"/>
    </row>
    <row r="33" spans="1:16" ht="81.599999999999994" customHeight="1">
      <c r="A33" s="431">
        <v>27</v>
      </c>
      <c r="B33" s="43" t="s">
        <v>75</v>
      </c>
      <c r="C33" s="420" t="s">
        <v>732</v>
      </c>
      <c r="D33" s="416" t="s">
        <v>54</v>
      </c>
      <c r="E33" s="416" t="s">
        <v>731</v>
      </c>
      <c r="F33" s="417">
        <v>62040500</v>
      </c>
      <c r="G33" s="354" t="s">
        <v>23</v>
      </c>
      <c r="H33" s="354" t="s">
        <v>77</v>
      </c>
      <c r="I33" s="354">
        <v>1399</v>
      </c>
      <c r="J33" s="354" t="s">
        <v>25</v>
      </c>
      <c r="K33" s="219">
        <v>1</v>
      </c>
      <c r="L33" s="425"/>
      <c r="M33" s="425" t="s">
        <v>33</v>
      </c>
      <c r="N33" s="419"/>
      <c r="O33" s="6"/>
      <c r="P33" s="432"/>
    </row>
    <row r="34" spans="1:16" ht="36">
      <c r="A34" s="431">
        <v>28</v>
      </c>
      <c r="B34" s="43" t="s">
        <v>75</v>
      </c>
      <c r="C34" s="424"/>
      <c r="D34" s="424" t="s">
        <v>40</v>
      </c>
      <c r="E34" s="43" t="s">
        <v>730</v>
      </c>
      <c r="F34" s="417">
        <v>5654400</v>
      </c>
      <c r="G34" s="354" t="s">
        <v>23</v>
      </c>
      <c r="H34" s="354" t="s">
        <v>41</v>
      </c>
      <c r="I34" s="354">
        <v>1399</v>
      </c>
      <c r="J34" s="354" t="s">
        <v>25</v>
      </c>
      <c r="K34" s="219">
        <v>1</v>
      </c>
      <c r="L34" s="218"/>
      <c r="M34" s="695" t="s">
        <v>33</v>
      </c>
      <c r="N34" s="228"/>
      <c r="O34" s="361"/>
      <c r="P34" s="855"/>
    </row>
    <row r="35" spans="1:16" ht="36">
      <c r="A35" s="431">
        <v>29</v>
      </c>
      <c r="B35" s="43" t="s">
        <v>75</v>
      </c>
      <c r="C35" s="424"/>
      <c r="D35" s="424" t="s">
        <v>40</v>
      </c>
      <c r="E35" s="43" t="s">
        <v>729</v>
      </c>
      <c r="F35" s="417">
        <v>10445760</v>
      </c>
      <c r="G35" s="354" t="s">
        <v>23</v>
      </c>
      <c r="H35" s="354" t="s">
        <v>41</v>
      </c>
      <c r="I35" s="354">
        <v>1399</v>
      </c>
      <c r="J35" s="354" t="s">
        <v>25</v>
      </c>
      <c r="K35" s="219">
        <v>1</v>
      </c>
      <c r="L35" s="218"/>
      <c r="M35" s="695" t="s">
        <v>33</v>
      </c>
      <c r="N35" s="228"/>
      <c r="O35" s="421"/>
      <c r="P35" s="855"/>
    </row>
    <row r="36" spans="1:16" ht="54">
      <c r="A36" s="431">
        <v>30</v>
      </c>
      <c r="B36" s="43" t="s">
        <v>75</v>
      </c>
      <c r="C36" s="424"/>
      <c r="D36" s="424" t="s">
        <v>40</v>
      </c>
      <c r="E36" s="43" t="s">
        <v>185</v>
      </c>
      <c r="F36" s="417" t="s">
        <v>17</v>
      </c>
      <c r="G36" s="354" t="s">
        <v>17</v>
      </c>
      <c r="H36" s="354" t="s">
        <v>17</v>
      </c>
      <c r="I36" s="354">
        <v>1399</v>
      </c>
      <c r="J36" s="354" t="s">
        <v>25</v>
      </c>
      <c r="K36" s="219">
        <v>1</v>
      </c>
      <c r="L36" s="218"/>
      <c r="M36" s="695" t="s">
        <v>33</v>
      </c>
      <c r="N36" s="228"/>
      <c r="O36" s="262"/>
      <c r="P36" s="430" t="s">
        <v>324</v>
      </c>
    </row>
    <row r="37" spans="1:16" ht="36">
      <c r="A37" s="431">
        <v>31</v>
      </c>
      <c r="B37" s="43" t="s">
        <v>75</v>
      </c>
      <c r="C37" s="424"/>
      <c r="D37" s="424" t="s">
        <v>40</v>
      </c>
      <c r="E37" s="43" t="s">
        <v>728</v>
      </c>
      <c r="F37" s="417">
        <v>12733560</v>
      </c>
      <c r="G37" s="354" t="s">
        <v>23</v>
      </c>
      <c r="H37" s="354" t="s">
        <v>41</v>
      </c>
      <c r="I37" s="354">
        <v>1399</v>
      </c>
      <c r="J37" s="354" t="s">
        <v>25</v>
      </c>
      <c r="K37" s="219">
        <v>1</v>
      </c>
      <c r="L37" s="218"/>
      <c r="M37" s="695" t="s">
        <v>33</v>
      </c>
      <c r="N37" s="228"/>
      <c r="O37" s="361"/>
      <c r="P37" s="430"/>
    </row>
    <row r="38" spans="1:16" ht="90">
      <c r="A38" s="431">
        <v>32</v>
      </c>
      <c r="B38" s="43" t="s">
        <v>75</v>
      </c>
      <c r="C38" s="424"/>
      <c r="D38" s="424" t="s">
        <v>40</v>
      </c>
      <c r="E38" s="261" t="s">
        <v>159</v>
      </c>
      <c r="F38" s="184">
        <v>511500</v>
      </c>
      <c r="G38" s="354" t="s">
        <v>23</v>
      </c>
      <c r="H38" s="354" t="s">
        <v>41</v>
      </c>
      <c r="I38" s="354">
        <v>1399</v>
      </c>
      <c r="J38" s="354" t="s">
        <v>25</v>
      </c>
      <c r="K38" s="219">
        <v>1</v>
      </c>
      <c r="L38" s="218" t="s">
        <v>1828</v>
      </c>
      <c r="M38" s="695" t="s">
        <v>33</v>
      </c>
      <c r="N38" s="82" t="s">
        <v>325</v>
      </c>
      <c r="O38" s="22" t="s">
        <v>982</v>
      </c>
      <c r="P38" s="855"/>
    </row>
    <row r="39" spans="1:16" ht="90">
      <c r="A39" s="431">
        <v>33</v>
      </c>
      <c r="B39" s="43" t="s">
        <v>75</v>
      </c>
      <c r="C39" s="424"/>
      <c r="D39" s="424" t="s">
        <v>40</v>
      </c>
      <c r="E39" s="261" t="s">
        <v>727</v>
      </c>
      <c r="F39" s="184">
        <v>205902</v>
      </c>
      <c r="G39" s="354" t="s">
        <v>23</v>
      </c>
      <c r="H39" s="354" t="s">
        <v>41</v>
      </c>
      <c r="I39" s="354">
        <v>1399</v>
      </c>
      <c r="J39" s="354" t="s">
        <v>25</v>
      </c>
      <c r="K39" s="219">
        <v>1</v>
      </c>
      <c r="L39" s="218" t="s">
        <v>1828</v>
      </c>
      <c r="M39" s="695" t="s">
        <v>33</v>
      </c>
      <c r="N39" s="82" t="s">
        <v>325</v>
      </c>
      <c r="O39" s="22" t="s">
        <v>982</v>
      </c>
      <c r="P39" s="855"/>
    </row>
    <row r="40" spans="1:16" ht="90">
      <c r="A40" s="431">
        <v>34</v>
      </c>
      <c r="B40" s="43" t="s">
        <v>75</v>
      </c>
      <c r="C40" s="424"/>
      <c r="D40" s="424" t="s">
        <v>40</v>
      </c>
      <c r="E40" s="43" t="s">
        <v>726</v>
      </c>
      <c r="F40" s="184">
        <f>304452*12</f>
        <v>3653424</v>
      </c>
      <c r="G40" s="354" t="s">
        <v>23</v>
      </c>
      <c r="H40" s="354" t="s">
        <v>41</v>
      </c>
      <c r="I40" s="354">
        <v>1399</v>
      </c>
      <c r="J40" s="354" t="s">
        <v>25</v>
      </c>
      <c r="K40" s="219">
        <v>1</v>
      </c>
      <c r="L40" s="218" t="s">
        <v>1828</v>
      </c>
      <c r="M40" s="695" t="s">
        <v>33</v>
      </c>
      <c r="N40" s="82" t="s">
        <v>325</v>
      </c>
      <c r="O40" s="22" t="s">
        <v>982</v>
      </c>
      <c r="P40" s="434"/>
    </row>
    <row r="41" spans="1:16" ht="90">
      <c r="A41" s="431">
        <v>35</v>
      </c>
      <c r="B41" s="43" t="s">
        <v>75</v>
      </c>
      <c r="C41" s="424"/>
      <c r="D41" s="424" t="s">
        <v>40</v>
      </c>
      <c r="E41" s="43" t="s">
        <v>725</v>
      </c>
      <c r="F41" s="184">
        <v>60665700</v>
      </c>
      <c r="G41" s="354" t="s">
        <v>23</v>
      </c>
      <c r="H41" s="354" t="s">
        <v>41</v>
      </c>
      <c r="I41" s="354">
        <v>1399</v>
      </c>
      <c r="J41" s="354" t="s">
        <v>25</v>
      </c>
      <c r="K41" s="219">
        <v>1</v>
      </c>
      <c r="L41" s="218" t="s">
        <v>1828</v>
      </c>
      <c r="M41" s="695" t="s">
        <v>33</v>
      </c>
      <c r="N41" s="82" t="s">
        <v>325</v>
      </c>
      <c r="O41" s="22" t="s">
        <v>982</v>
      </c>
      <c r="P41" s="855"/>
    </row>
    <row r="42" spans="1:16" ht="54">
      <c r="A42" s="431">
        <v>36</v>
      </c>
      <c r="B42" s="43" t="s">
        <v>75</v>
      </c>
      <c r="C42" s="424"/>
      <c r="D42" s="424" t="s">
        <v>40</v>
      </c>
      <c r="E42" s="43" t="s">
        <v>724</v>
      </c>
      <c r="F42" s="184">
        <v>226440</v>
      </c>
      <c r="G42" s="354" t="s">
        <v>23</v>
      </c>
      <c r="H42" s="354" t="s">
        <v>41</v>
      </c>
      <c r="I42" s="354">
        <v>1399</v>
      </c>
      <c r="J42" s="354" t="s">
        <v>25</v>
      </c>
      <c r="K42" s="219">
        <v>1</v>
      </c>
      <c r="L42" s="218"/>
      <c r="M42" s="695" t="s">
        <v>33</v>
      </c>
      <c r="N42" s="228"/>
      <c r="O42" s="421"/>
      <c r="P42" s="855"/>
    </row>
    <row r="43" spans="1:16" ht="90">
      <c r="A43" s="431">
        <v>37</v>
      </c>
      <c r="B43" s="43" t="s">
        <v>75</v>
      </c>
      <c r="C43" s="424"/>
      <c r="D43" s="424" t="s">
        <v>40</v>
      </c>
      <c r="E43" s="43" t="s">
        <v>723</v>
      </c>
      <c r="F43" s="184">
        <v>1125000</v>
      </c>
      <c r="G43" s="354" t="s">
        <v>23</v>
      </c>
      <c r="H43" s="354" t="s">
        <v>41</v>
      </c>
      <c r="I43" s="354">
        <v>1399</v>
      </c>
      <c r="J43" s="354" t="s">
        <v>25</v>
      </c>
      <c r="K43" s="219">
        <v>1</v>
      </c>
      <c r="L43" s="218" t="s">
        <v>1828</v>
      </c>
      <c r="M43" s="695" t="s">
        <v>33</v>
      </c>
      <c r="N43" s="82" t="s">
        <v>325</v>
      </c>
      <c r="O43" s="22" t="s">
        <v>982</v>
      </c>
      <c r="P43" s="855"/>
    </row>
    <row r="44" spans="1:16" ht="54">
      <c r="A44" s="431">
        <v>38</v>
      </c>
      <c r="B44" s="43" t="s">
        <v>75</v>
      </c>
      <c r="C44" s="424"/>
      <c r="D44" s="424" t="s">
        <v>40</v>
      </c>
      <c r="E44" s="43" t="s">
        <v>722</v>
      </c>
      <c r="F44" s="417">
        <v>372000</v>
      </c>
      <c r="G44" s="354" t="s">
        <v>23</v>
      </c>
      <c r="H44" s="354" t="s">
        <v>41</v>
      </c>
      <c r="I44" s="354">
        <v>1399</v>
      </c>
      <c r="J44" s="354" t="s">
        <v>25</v>
      </c>
      <c r="K44" s="219">
        <v>1</v>
      </c>
      <c r="L44" s="218"/>
      <c r="M44" s="695" t="s">
        <v>33</v>
      </c>
      <c r="N44" s="228"/>
      <c r="O44" s="421"/>
      <c r="P44" s="855"/>
    </row>
    <row r="45" spans="1:16" ht="36">
      <c r="A45" s="431">
        <v>39</v>
      </c>
      <c r="B45" s="43" t="s">
        <v>75</v>
      </c>
      <c r="C45" s="424"/>
      <c r="D45" s="424" t="s">
        <v>40</v>
      </c>
      <c r="E45" s="43" t="s">
        <v>721</v>
      </c>
      <c r="F45" s="417">
        <v>758880</v>
      </c>
      <c r="G45" s="354" t="s">
        <v>23</v>
      </c>
      <c r="H45" s="354" t="s">
        <v>41</v>
      </c>
      <c r="I45" s="354">
        <v>1399</v>
      </c>
      <c r="J45" s="354" t="s">
        <v>25</v>
      </c>
      <c r="K45" s="219">
        <v>1</v>
      </c>
      <c r="L45" s="218"/>
      <c r="M45" s="695" t="s">
        <v>33</v>
      </c>
      <c r="N45" s="228"/>
      <c r="O45" s="421"/>
      <c r="P45" s="855"/>
    </row>
    <row r="46" spans="1:16" ht="72">
      <c r="A46" s="431">
        <v>40</v>
      </c>
      <c r="B46" s="43" t="s">
        <v>75</v>
      </c>
      <c r="C46" s="424"/>
      <c r="D46" s="424" t="s">
        <v>40</v>
      </c>
      <c r="E46" s="43" t="s">
        <v>186</v>
      </c>
      <c r="F46" s="417">
        <v>1190400</v>
      </c>
      <c r="G46" s="354" t="s">
        <v>23</v>
      </c>
      <c r="H46" s="354" t="s">
        <v>41</v>
      </c>
      <c r="I46" s="354">
        <v>1399</v>
      </c>
      <c r="J46" s="354" t="s">
        <v>25</v>
      </c>
      <c r="K46" s="219">
        <v>1</v>
      </c>
      <c r="L46" s="218"/>
      <c r="M46" s="695" t="s">
        <v>33</v>
      </c>
      <c r="N46" s="228"/>
      <c r="O46" s="421"/>
      <c r="P46" s="855"/>
    </row>
    <row r="47" spans="1:16" ht="36">
      <c r="A47" s="431">
        <v>41</v>
      </c>
      <c r="B47" s="43" t="s">
        <v>75</v>
      </c>
      <c r="C47" s="424"/>
      <c r="D47" s="424" t="s">
        <v>40</v>
      </c>
      <c r="E47" s="43" t="s">
        <v>720</v>
      </c>
      <c r="F47" s="417">
        <v>400950</v>
      </c>
      <c r="G47" s="354" t="s">
        <v>23</v>
      </c>
      <c r="H47" s="354" t="s">
        <v>41</v>
      </c>
      <c r="I47" s="354">
        <v>1399</v>
      </c>
      <c r="J47" s="354" t="s">
        <v>25</v>
      </c>
      <c r="K47" s="219">
        <v>1</v>
      </c>
      <c r="L47" s="218"/>
      <c r="M47" s="695" t="s">
        <v>33</v>
      </c>
      <c r="N47" s="228"/>
      <c r="O47" s="421"/>
      <c r="P47" s="855"/>
    </row>
    <row r="48" spans="1:16" ht="54">
      <c r="A48" s="431">
        <v>42</v>
      </c>
      <c r="B48" s="43" t="s">
        <v>75</v>
      </c>
      <c r="C48" s="424"/>
      <c r="D48" s="424" t="s">
        <v>40</v>
      </c>
      <c r="E48" s="43" t="s">
        <v>124</v>
      </c>
      <c r="F48" s="417">
        <v>223200</v>
      </c>
      <c r="G48" s="354" t="s">
        <v>23</v>
      </c>
      <c r="H48" s="354" t="s">
        <v>41</v>
      </c>
      <c r="I48" s="354">
        <v>1399</v>
      </c>
      <c r="J48" s="354" t="s">
        <v>25</v>
      </c>
      <c r="K48" s="219">
        <v>1</v>
      </c>
      <c r="L48" s="218"/>
      <c r="M48" s="695" t="s">
        <v>33</v>
      </c>
      <c r="N48" s="228"/>
      <c r="O48" s="421"/>
      <c r="P48" s="855"/>
    </row>
    <row r="49" spans="1:16" ht="36">
      <c r="A49" s="431">
        <v>43</v>
      </c>
      <c r="B49" s="43" t="s">
        <v>75</v>
      </c>
      <c r="C49" s="424"/>
      <c r="D49" s="424" t="s">
        <v>40</v>
      </c>
      <c r="E49" s="43" t="s">
        <v>719</v>
      </c>
      <c r="F49" s="417">
        <v>1574130</v>
      </c>
      <c r="G49" s="354" t="s">
        <v>23</v>
      </c>
      <c r="H49" s="354" t="s">
        <v>41</v>
      </c>
      <c r="I49" s="354">
        <v>1399</v>
      </c>
      <c r="J49" s="354" t="s">
        <v>25</v>
      </c>
      <c r="K49" s="219">
        <v>1</v>
      </c>
      <c r="L49" s="218"/>
      <c r="M49" s="695" t="s">
        <v>33</v>
      </c>
      <c r="N49" s="228"/>
      <c r="O49" s="421"/>
      <c r="P49" s="855"/>
    </row>
    <row r="50" spans="1:16" ht="72">
      <c r="A50" s="431">
        <v>44</v>
      </c>
      <c r="B50" s="43" t="s">
        <v>75</v>
      </c>
      <c r="C50" s="424"/>
      <c r="D50" s="424" t="s">
        <v>40</v>
      </c>
      <c r="E50" s="43" t="s">
        <v>718</v>
      </c>
      <c r="F50" s="417">
        <v>1402000</v>
      </c>
      <c r="G50" s="354" t="s">
        <v>23</v>
      </c>
      <c r="H50" s="354" t="s">
        <v>41</v>
      </c>
      <c r="I50" s="354">
        <v>1399</v>
      </c>
      <c r="J50" s="354" t="s">
        <v>25</v>
      </c>
      <c r="K50" s="219">
        <v>1</v>
      </c>
      <c r="L50" s="218"/>
      <c r="M50" s="695" t="s">
        <v>33</v>
      </c>
      <c r="N50" s="228"/>
      <c r="O50" s="421"/>
      <c r="P50" s="855"/>
    </row>
    <row r="51" spans="1:16" ht="54">
      <c r="A51" s="431">
        <v>45</v>
      </c>
      <c r="B51" s="43" t="s">
        <v>75</v>
      </c>
      <c r="C51" s="424"/>
      <c r="D51" s="424" t="s">
        <v>40</v>
      </c>
      <c r="E51" s="43" t="s">
        <v>47</v>
      </c>
      <c r="F51" s="417">
        <v>227700</v>
      </c>
      <c r="G51" s="354" t="s">
        <v>23</v>
      </c>
      <c r="H51" s="354" t="s">
        <v>41</v>
      </c>
      <c r="I51" s="354">
        <v>1399</v>
      </c>
      <c r="J51" s="354" t="s">
        <v>25</v>
      </c>
      <c r="K51" s="219">
        <v>1</v>
      </c>
      <c r="L51" s="218"/>
      <c r="M51" s="695" t="s">
        <v>33</v>
      </c>
      <c r="N51" s="228"/>
      <c r="O51" s="421"/>
      <c r="P51" s="855"/>
    </row>
    <row r="52" spans="1:16" ht="36">
      <c r="A52" s="431">
        <v>46</v>
      </c>
      <c r="B52" s="43" t="s">
        <v>75</v>
      </c>
      <c r="C52" s="424"/>
      <c r="D52" s="424" t="s">
        <v>40</v>
      </c>
      <c r="E52" s="43" t="s">
        <v>48</v>
      </c>
      <c r="F52" s="417">
        <v>85028</v>
      </c>
      <c r="G52" s="354" t="s">
        <v>23</v>
      </c>
      <c r="H52" s="354" t="s">
        <v>41</v>
      </c>
      <c r="I52" s="354">
        <v>1399</v>
      </c>
      <c r="J52" s="354" t="s">
        <v>25</v>
      </c>
      <c r="K52" s="219">
        <v>1</v>
      </c>
      <c r="L52" s="218"/>
      <c r="M52" s="695" t="s">
        <v>33</v>
      </c>
      <c r="N52" s="228"/>
      <c r="O52" s="421"/>
      <c r="P52" s="855"/>
    </row>
    <row r="53" spans="1:16" ht="54">
      <c r="A53" s="431">
        <v>47</v>
      </c>
      <c r="B53" s="43" t="s">
        <v>75</v>
      </c>
      <c r="C53" s="424"/>
      <c r="D53" s="424" t="s">
        <v>40</v>
      </c>
      <c r="E53" s="424" t="s">
        <v>717</v>
      </c>
      <c r="F53" s="417">
        <v>156150</v>
      </c>
      <c r="G53" s="354" t="s">
        <v>23</v>
      </c>
      <c r="H53" s="354" t="s">
        <v>41</v>
      </c>
      <c r="I53" s="354">
        <v>1399</v>
      </c>
      <c r="J53" s="354" t="s">
        <v>25</v>
      </c>
      <c r="K53" s="219">
        <v>1</v>
      </c>
      <c r="L53" s="218"/>
      <c r="M53" s="695" t="s">
        <v>33</v>
      </c>
      <c r="N53" s="228"/>
      <c r="O53" s="421"/>
      <c r="P53" s="855"/>
    </row>
    <row r="54" spans="1:16" ht="54">
      <c r="A54" s="431">
        <v>48</v>
      </c>
      <c r="B54" s="43" t="s">
        <v>75</v>
      </c>
      <c r="C54" s="424"/>
      <c r="D54" s="424" t="s">
        <v>40</v>
      </c>
      <c r="E54" s="424" t="s">
        <v>716</v>
      </c>
      <c r="F54" s="417">
        <v>72900</v>
      </c>
      <c r="G54" s="354" t="s">
        <v>23</v>
      </c>
      <c r="H54" s="354" t="s">
        <v>41</v>
      </c>
      <c r="I54" s="354">
        <v>1399</v>
      </c>
      <c r="J54" s="354" t="s">
        <v>25</v>
      </c>
      <c r="K54" s="219">
        <v>1</v>
      </c>
      <c r="L54" s="218"/>
      <c r="M54" s="695" t="s">
        <v>33</v>
      </c>
      <c r="N54" s="228"/>
      <c r="O54" s="421"/>
      <c r="P54" s="855"/>
    </row>
    <row r="55" spans="1:16" ht="36">
      <c r="A55" s="431">
        <v>49</v>
      </c>
      <c r="B55" s="43" t="s">
        <v>75</v>
      </c>
      <c r="C55" s="424"/>
      <c r="D55" s="448" t="s">
        <v>40</v>
      </c>
      <c r="E55" s="164" t="s">
        <v>983</v>
      </c>
      <c r="F55" s="184">
        <f>300*2617</f>
        <v>785100</v>
      </c>
      <c r="G55" s="446" t="s">
        <v>23</v>
      </c>
      <c r="H55" s="453" t="s">
        <v>41</v>
      </c>
      <c r="I55" s="446">
        <v>1399</v>
      </c>
      <c r="J55" s="446" t="s">
        <v>852</v>
      </c>
      <c r="K55" s="275">
        <v>1</v>
      </c>
      <c r="L55" s="448"/>
      <c r="M55" s="695" t="s">
        <v>33</v>
      </c>
      <c r="N55" s="228"/>
      <c r="O55" s="421"/>
      <c r="P55" s="855"/>
    </row>
    <row r="56" spans="1:16" ht="54">
      <c r="A56" s="431">
        <v>50</v>
      </c>
      <c r="B56" s="43" t="s">
        <v>75</v>
      </c>
      <c r="C56" s="424"/>
      <c r="D56" s="424" t="s">
        <v>40</v>
      </c>
      <c r="E56" s="43" t="s">
        <v>715</v>
      </c>
      <c r="F56" s="417">
        <v>858500</v>
      </c>
      <c r="G56" s="354" t="s">
        <v>23</v>
      </c>
      <c r="H56" s="354" t="s">
        <v>41</v>
      </c>
      <c r="I56" s="354">
        <v>1399</v>
      </c>
      <c r="J56" s="354" t="s">
        <v>25</v>
      </c>
      <c r="K56" s="275">
        <v>1</v>
      </c>
      <c r="L56" s="218"/>
      <c r="M56" s="695" t="s">
        <v>33</v>
      </c>
      <c r="N56" s="228"/>
      <c r="O56" s="421"/>
      <c r="P56" s="855"/>
    </row>
    <row r="57" spans="1:16" ht="36">
      <c r="A57" s="431">
        <v>51</v>
      </c>
      <c r="B57" s="43" t="s">
        <v>75</v>
      </c>
      <c r="C57" s="424"/>
      <c r="D57" s="424" t="s">
        <v>40</v>
      </c>
      <c r="E57" s="43" t="s">
        <v>714</v>
      </c>
      <c r="F57" s="417">
        <v>252000</v>
      </c>
      <c r="G57" s="354" t="s">
        <v>23</v>
      </c>
      <c r="H57" s="354" t="s">
        <v>41</v>
      </c>
      <c r="I57" s="354">
        <v>1399</v>
      </c>
      <c r="J57" s="354" t="s">
        <v>25</v>
      </c>
      <c r="K57" s="275">
        <v>1</v>
      </c>
      <c r="L57" s="218"/>
      <c r="M57" s="695" t="s">
        <v>33</v>
      </c>
      <c r="N57" s="228"/>
      <c r="O57" s="421"/>
      <c r="P57" s="855"/>
    </row>
    <row r="58" spans="1:16" ht="90">
      <c r="A58" s="431">
        <v>52</v>
      </c>
      <c r="B58" s="43" t="s">
        <v>75</v>
      </c>
      <c r="C58" s="424"/>
      <c r="D58" s="424" t="s">
        <v>40</v>
      </c>
      <c r="E58" s="43" t="s">
        <v>713</v>
      </c>
      <c r="F58" s="184">
        <v>3645600</v>
      </c>
      <c r="G58" s="354" t="s">
        <v>23</v>
      </c>
      <c r="H58" s="354" t="s">
        <v>41</v>
      </c>
      <c r="I58" s="354">
        <v>1399</v>
      </c>
      <c r="J58" s="354" t="s">
        <v>25</v>
      </c>
      <c r="K58" s="275">
        <v>1</v>
      </c>
      <c r="L58" s="218" t="s">
        <v>1828</v>
      </c>
      <c r="M58" s="695" t="s">
        <v>33</v>
      </c>
      <c r="N58" s="82" t="s">
        <v>325</v>
      </c>
      <c r="O58" s="22" t="s">
        <v>982</v>
      </c>
      <c r="P58" s="434"/>
    </row>
    <row r="59" spans="1:16" ht="90">
      <c r="A59" s="431">
        <v>53</v>
      </c>
      <c r="B59" s="43" t="s">
        <v>75</v>
      </c>
      <c r="C59" s="424"/>
      <c r="D59" s="424" t="s">
        <v>40</v>
      </c>
      <c r="E59" s="43" t="s">
        <v>51</v>
      </c>
      <c r="F59" s="184">
        <v>52080</v>
      </c>
      <c r="G59" s="354" t="s">
        <v>23</v>
      </c>
      <c r="H59" s="354" t="s">
        <v>41</v>
      </c>
      <c r="I59" s="354">
        <v>1399</v>
      </c>
      <c r="J59" s="354" t="s">
        <v>25</v>
      </c>
      <c r="K59" s="275">
        <v>1</v>
      </c>
      <c r="L59" s="218" t="s">
        <v>1828</v>
      </c>
      <c r="M59" s="695" t="s">
        <v>33</v>
      </c>
      <c r="N59" s="82" t="s">
        <v>325</v>
      </c>
      <c r="O59" s="22" t="s">
        <v>982</v>
      </c>
      <c r="P59" s="855"/>
    </row>
    <row r="60" spans="1:16" ht="90">
      <c r="A60" s="431">
        <v>54</v>
      </c>
      <c r="B60" s="43" t="s">
        <v>75</v>
      </c>
      <c r="C60" s="424"/>
      <c r="D60" s="424" t="s">
        <v>40</v>
      </c>
      <c r="E60" s="43" t="s">
        <v>356</v>
      </c>
      <c r="F60" s="417">
        <v>1093680</v>
      </c>
      <c r="G60" s="354" t="s">
        <v>23</v>
      </c>
      <c r="H60" s="354" t="s">
        <v>41</v>
      </c>
      <c r="I60" s="354">
        <v>1399</v>
      </c>
      <c r="J60" s="354" t="s">
        <v>25</v>
      </c>
      <c r="K60" s="275">
        <v>1</v>
      </c>
      <c r="L60" s="218" t="s">
        <v>1828</v>
      </c>
      <c r="M60" s="695" t="s">
        <v>33</v>
      </c>
      <c r="N60" s="82" t="s">
        <v>325</v>
      </c>
      <c r="O60" s="22" t="s">
        <v>982</v>
      </c>
      <c r="P60" s="855"/>
    </row>
    <row r="61" spans="1:16" ht="90">
      <c r="A61" s="431">
        <v>55</v>
      </c>
      <c r="B61" s="43" t="s">
        <v>75</v>
      </c>
      <c r="C61" s="424"/>
      <c r="D61" s="424" t="s">
        <v>40</v>
      </c>
      <c r="E61" s="43" t="s">
        <v>712</v>
      </c>
      <c r="F61" s="184">
        <v>3174376</v>
      </c>
      <c r="G61" s="354" t="s">
        <v>23</v>
      </c>
      <c r="H61" s="354" t="s">
        <v>41</v>
      </c>
      <c r="I61" s="354">
        <v>1399</v>
      </c>
      <c r="J61" s="354" t="s">
        <v>25</v>
      </c>
      <c r="K61" s="275">
        <v>1</v>
      </c>
      <c r="L61" s="218" t="s">
        <v>1828</v>
      </c>
      <c r="M61" s="695" t="s">
        <v>33</v>
      </c>
      <c r="N61" s="82" t="s">
        <v>325</v>
      </c>
      <c r="O61" s="22" t="s">
        <v>982</v>
      </c>
      <c r="P61" s="434"/>
    </row>
    <row r="62" spans="1:16" ht="90">
      <c r="A62" s="431">
        <v>56</v>
      </c>
      <c r="B62" s="43" t="s">
        <v>75</v>
      </c>
      <c r="C62" s="424"/>
      <c r="D62" s="424" t="s">
        <v>40</v>
      </c>
      <c r="E62" s="43" t="s">
        <v>711</v>
      </c>
      <c r="F62" s="184">
        <f>2695000*3</f>
        <v>8085000</v>
      </c>
      <c r="G62" s="354" t="s">
        <v>23</v>
      </c>
      <c r="H62" s="354" t="s">
        <v>41</v>
      </c>
      <c r="I62" s="354">
        <v>1399</v>
      </c>
      <c r="J62" s="354" t="s">
        <v>25</v>
      </c>
      <c r="K62" s="275">
        <v>1</v>
      </c>
      <c r="L62" s="218" t="s">
        <v>1828</v>
      </c>
      <c r="M62" s="695" t="s">
        <v>33</v>
      </c>
      <c r="N62" s="82" t="s">
        <v>325</v>
      </c>
      <c r="O62" s="22" t="s">
        <v>982</v>
      </c>
      <c r="P62" s="434"/>
    </row>
    <row r="63" spans="1:16" ht="90">
      <c r="A63" s="431">
        <v>57</v>
      </c>
      <c r="B63" s="43" t="s">
        <v>75</v>
      </c>
      <c r="C63" s="424"/>
      <c r="D63" s="424" t="s">
        <v>40</v>
      </c>
      <c r="E63" s="43" t="s">
        <v>710</v>
      </c>
      <c r="F63" s="417">
        <v>924000</v>
      </c>
      <c r="G63" s="354" t="s">
        <v>23</v>
      </c>
      <c r="H63" s="354" t="s">
        <v>41</v>
      </c>
      <c r="I63" s="354">
        <v>1399</v>
      </c>
      <c r="J63" s="354" t="s">
        <v>25</v>
      </c>
      <c r="K63" s="275">
        <v>1</v>
      </c>
      <c r="L63" s="218"/>
      <c r="M63" s="695" t="s">
        <v>33</v>
      </c>
      <c r="N63" s="228"/>
      <c r="O63" s="421"/>
      <c r="P63" s="430"/>
    </row>
    <row r="64" spans="1:16" ht="72">
      <c r="A64" s="431">
        <v>58</v>
      </c>
      <c r="B64" s="43" t="s">
        <v>75</v>
      </c>
      <c r="C64" s="424"/>
      <c r="D64" s="424" t="s">
        <v>40</v>
      </c>
      <c r="E64" s="43" t="s">
        <v>709</v>
      </c>
      <c r="F64" s="417">
        <v>840000</v>
      </c>
      <c r="G64" s="354" t="s">
        <v>23</v>
      </c>
      <c r="H64" s="354" t="s">
        <v>41</v>
      </c>
      <c r="I64" s="354">
        <v>1399</v>
      </c>
      <c r="J64" s="354" t="s">
        <v>25</v>
      </c>
      <c r="K64" s="275">
        <v>1</v>
      </c>
      <c r="L64" s="218"/>
      <c r="M64" s="695" t="s">
        <v>33</v>
      </c>
      <c r="N64" s="228"/>
      <c r="O64" s="421"/>
      <c r="P64" s="430"/>
    </row>
    <row r="65" spans="1:16" ht="36">
      <c r="A65" s="431">
        <v>59</v>
      </c>
      <c r="B65" s="43"/>
      <c r="C65" s="82" t="s">
        <v>708</v>
      </c>
      <c r="D65" s="424" t="s">
        <v>40</v>
      </c>
      <c r="E65" s="43" t="s">
        <v>707</v>
      </c>
      <c r="F65" s="417">
        <f>4842500/2</f>
        <v>2421250</v>
      </c>
      <c r="G65" s="354" t="s">
        <v>23</v>
      </c>
      <c r="H65" s="354" t="s">
        <v>41</v>
      </c>
      <c r="I65" s="354">
        <v>1399</v>
      </c>
      <c r="J65" s="354" t="s">
        <v>25</v>
      </c>
      <c r="K65" s="275">
        <v>1</v>
      </c>
      <c r="L65" s="218"/>
      <c r="M65" s="695" t="s">
        <v>33</v>
      </c>
      <c r="N65" s="228"/>
      <c r="O65" s="421"/>
      <c r="P65" s="430"/>
    </row>
    <row r="66" spans="1:16" ht="36">
      <c r="A66" s="431">
        <v>60</v>
      </c>
      <c r="B66" s="43"/>
      <c r="C66" s="82" t="s">
        <v>706</v>
      </c>
      <c r="D66" s="169" t="s">
        <v>40</v>
      </c>
      <c r="E66" s="164" t="s">
        <v>140</v>
      </c>
      <c r="F66" s="417">
        <f>83077500/5</f>
        <v>16615500</v>
      </c>
      <c r="G66" s="425" t="s">
        <v>23</v>
      </c>
      <c r="H66" s="425" t="s">
        <v>77</v>
      </c>
      <c r="I66" s="425">
        <v>1399</v>
      </c>
      <c r="J66" s="418" t="s">
        <v>25</v>
      </c>
      <c r="K66" s="275">
        <v>1</v>
      </c>
      <c r="L66" s="425"/>
      <c r="M66" s="695" t="s">
        <v>33</v>
      </c>
      <c r="N66" s="419"/>
      <c r="O66" s="421"/>
      <c r="P66" s="430"/>
    </row>
    <row r="67" spans="1:16" ht="54">
      <c r="A67" s="431">
        <v>61</v>
      </c>
      <c r="B67" s="43"/>
      <c r="C67" s="354" t="s">
        <v>705</v>
      </c>
      <c r="D67" s="421" t="s">
        <v>40</v>
      </c>
      <c r="E67" s="187" t="s">
        <v>655</v>
      </c>
      <c r="F67" s="296">
        <f>75937500/3</f>
        <v>25312500</v>
      </c>
      <c r="G67" s="354" t="s">
        <v>23</v>
      </c>
      <c r="H67" s="354" t="s">
        <v>41</v>
      </c>
      <c r="I67" s="354">
        <v>1399</v>
      </c>
      <c r="J67" s="418" t="s">
        <v>25</v>
      </c>
      <c r="K67" s="275">
        <v>1</v>
      </c>
      <c r="L67" s="218"/>
      <c r="M67" s="695" t="s">
        <v>33</v>
      </c>
      <c r="N67" s="421"/>
      <c r="O67" s="228"/>
      <c r="P67" s="430"/>
    </row>
    <row r="68" spans="1:16" ht="90">
      <c r="A68" s="431">
        <v>62</v>
      </c>
      <c r="B68" s="43" t="s">
        <v>75</v>
      </c>
      <c r="C68" s="424"/>
      <c r="D68" s="424" t="s">
        <v>40</v>
      </c>
      <c r="E68" s="43" t="s">
        <v>704</v>
      </c>
      <c r="F68" s="184">
        <v>1638000</v>
      </c>
      <c r="G68" s="354" t="s">
        <v>23</v>
      </c>
      <c r="H68" s="354" t="s">
        <v>41</v>
      </c>
      <c r="I68" s="354">
        <v>1399</v>
      </c>
      <c r="J68" s="354" t="s">
        <v>25</v>
      </c>
      <c r="K68" s="275">
        <v>1</v>
      </c>
      <c r="L68" s="218" t="s">
        <v>1828</v>
      </c>
      <c r="M68" s="695" t="s">
        <v>33</v>
      </c>
      <c r="N68" s="82" t="s">
        <v>325</v>
      </c>
      <c r="O68" s="22" t="s">
        <v>982</v>
      </c>
      <c r="P68" s="430"/>
    </row>
    <row r="69" spans="1:16" ht="90">
      <c r="A69" s="431">
        <v>63</v>
      </c>
      <c r="B69" s="6" t="s">
        <v>75</v>
      </c>
      <c r="C69" s="82" t="s">
        <v>703</v>
      </c>
      <c r="D69" s="419" t="s">
        <v>76</v>
      </c>
      <c r="E69" s="419" t="s">
        <v>702</v>
      </c>
      <c r="F69" s="295">
        <v>471464786</v>
      </c>
      <c r="G69" s="82" t="s">
        <v>23</v>
      </c>
      <c r="H69" s="82" t="s">
        <v>77</v>
      </c>
      <c r="I69" s="82">
        <v>1399</v>
      </c>
      <c r="J69" s="82" t="s">
        <v>25</v>
      </c>
      <c r="K69" s="275">
        <v>1</v>
      </c>
      <c r="L69" s="82"/>
      <c r="M69" s="82" t="s">
        <v>78</v>
      </c>
      <c r="N69" s="421"/>
      <c r="O69" s="421"/>
      <c r="P69" s="430"/>
    </row>
    <row r="70" spans="1:16" s="461" customFormat="1" ht="36">
      <c r="A70" s="431">
        <v>64</v>
      </c>
      <c r="B70" s="43" t="s">
        <v>75</v>
      </c>
      <c r="C70" s="82" t="s">
        <v>1197</v>
      </c>
      <c r="D70" s="466" t="s">
        <v>168</v>
      </c>
      <c r="E70" s="466" t="s">
        <v>1007</v>
      </c>
      <c r="F70" s="37">
        <v>1979700</v>
      </c>
      <c r="G70" s="647" t="s">
        <v>23</v>
      </c>
      <c r="H70" s="647" t="s">
        <v>77</v>
      </c>
      <c r="I70" s="647">
        <v>1399</v>
      </c>
      <c r="J70" s="647" t="s">
        <v>25</v>
      </c>
      <c r="K70" s="275">
        <v>1</v>
      </c>
      <c r="L70" s="478"/>
      <c r="M70" s="649" t="s">
        <v>902</v>
      </c>
      <c r="N70" s="159"/>
      <c r="O70" s="159"/>
      <c r="P70" s="33" t="s">
        <v>1008</v>
      </c>
    </row>
    <row r="71" spans="1:16" s="461" customFormat="1" ht="54">
      <c r="A71" s="431">
        <v>65</v>
      </c>
      <c r="B71" s="43" t="s">
        <v>75</v>
      </c>
      <c r="C71" s="82" t="s">
        <v>1198</v>
      </c>
      <c r="D71" s="466" t="s">
        <v>1076</v>
      </c>
      <c r="E71" s="33" t="s">
        <v>1199</v>
      </c>
      <c r="F71" s="457">
        <v>208320000</v>
      </c>
      <c r="G71" s="354" t="s">
        <v>23</v>
      </c>
      <c r="H71" s="354" t="s">
        <v>41</v>
      </c>
      <c r="I71" s="354">
        <v>1401</v>
      </c>
      <c r="J71" s="354" t="s">
        <v>25</v>
      </c>
      <c r="K71" s="275" t="s">
        <v>17</v>
      </c>
      <c r="L71" s="218" t="s">
        <v>72</v>
      </c>
      <c r="M71" s="501"/>
      <c r="N71" s="468" t="s">
        <v>1078</v>
      </c>
      <c r="O71" s="196"/>
      <c r="P71" s="182" t="s">
        <v>1079</v>
      </c>
    </row>
    <row r="72" spans="1:16" s="461" customFormat="1" ht="72">
      <c r="A72" s="431">
        <v>66</v>
      </c>
      <c r="B72" s="43" t="s">
        <v>75</v>
      </c>
      <c r="C72" s="82" t="s">
        <v>645</v>
      </c>
      <c r="D72" s="466" t="s">
        <v>111</v>
      </c>
      <c r="E72" s="466" t="s">
        <v>1200</v>
      </c>
      <c r="F72" s="457">
        <v>367000</v>
      </c>
      <c r="G72" s="354" t="s">
        <v>23</v>
      </c>
      <c r="H72" s="354" t="s">
        <v>77</v>
      </c>
      <c r="I72" s="354">
        <v>1399</v>
      </c>
      <c r="J72" s="354" t="s">
        <v>25</v>
      </c>
      <c r="K72" s="275">
        <v>1</v>
      </c>
      <c r="L72" s="501"/>
      <c r="M72" s="82" t="s">
        <v>33</v>
      </c>
      <c r="N72" s="223"/>
      <c r="O72" s="223"/>
      <c r="P72" s="502"/>
    </row>
    <row r="73" spans="1:16" s="461" customFormat="1" ht="36">
      <c r="A73" s="431">
        <v>67</v>
      </c>
      <c r="B73" s="43" t="s">
        <v>75</v>
      </c>
      <c r="C73" s="82" t="s">
        <v>1011</v>
      </c>
      <c r="D73" s="466" t="s">
        <v>111</v>
      </c>
      <c r="E73" s="466" t="s">
        <v>187</v>
      </c>
      <c r="F73" s="457">
        <v>320000</v>
      </c>
      <c r="G73" s="354" t="s">
        <v>23</v>
      </c>
      <c r="H73" s="354" t="s">
        <v>77</v>
      </c>
      <c r="I73" s="354">
        <v>1399</v>
      </c>
      <c r="J73" s="354" t="s">
        <v>25</v>
      </c>
      <c r="K73" s="275">
        <v>1</v>
      </c>
      <c r="L73" s="501"/>
      <c r="M73" s="82" t="s">
        <v>33</v>
      </c>
      <c r="N73" s="223"/>
      <c r="O73" s="223"/>
      <c r="P73" s="502"/>
    </row>
    <row r="74" spans="1:16" s="461" customFormat="1" ht="54">
      <c r="A74" s="431">
        <v>68</v>
      </c>
      <c r="B74" s="43" t="s">
        <v>75</v>
      </c>
      <c r="C74" s="82" t="s">
        <v>1201</v>
      </c>
      <c r="D74" s="466" t="s">
        <v>111</v>
      </c>
      <c r="E74" s="466" t="s">
        <v>1202</v>
      </c>
      <c r="F74" s="457">
        <v>1500000</v>
      </c>
      <c r="G74" s="354" t="s">
        <v>23</v>
      </c>
      <c r="H74" s="354" t="s">
        <v>77</v>
      </c>
      <c r="I74" s="354">
        <v>1399</v>
      </c>
      <c r="J74" s="354" t="s">
        <v>25</v>
      </c>
      <c r="K74" s="219" t="s">
        <v>17</v>
      </c>
      <c r="L74" s="218" t="s">
        <v>72</v>
      </c>
      <c r="M74" s="501"/>
      <c r="N74" s="503" t="s">
        <v>1203</v>
      </c>
      <c r="O74" s="468" t="s">
        <v>1204</v>
      </c>
      <c r="P74" s="502"/>
    </row>
    <row r="75" spans="1:16" s="461" customFormat="1" ht="126">
      <c r="A75" s="431">
        <v>69</v>
      </c>
      <c r="B75" s="43" t="s">
        <v>75</v>
      </c>
      <c r="C75" s="82" t="s">
        <v>372</v>
      </c>
      <c r="D75" s="456" t="s">
        <v>67</v>
      </c>
      <c r="E75" s="456" t="s">
        <v>1205</v>
      </c>
      <c r="F75" s="457">
        <v>6000000</v>
      </c>
      <c r="G75" s="354" t="s">
        <v>23</v>
      </c>
      <c r="H75" s="354" t="s">
        <v>77</v>
      </c>
      <c r="I75" s="354">
        <v>1401</v>
      </c>
      <c r="J75" s="458" t="s">
        <v>68</v>
      </c>
      <c r="K75" s="219"/>
      <c r="L75" s="218" t="s">
        <v>72</v>
      </c>
      <c r="M75" s="82" t="s">
        <v>17</v>
      </c>
      <c r="N75" s="503" t="s">
        <v>1046</v>
      </c>
      <c r="O75" s="468" t="s">
        <v>323</v>
      </c>
      <c r="P75" s="504"/>
    </row>
    <row r="76" spans="1:16" s="552" customFormat="1" ht="61.5" customHeight="1">
      <c r="A76" s="431">
        <v>70</v>
      </c>
      <c r="B76" s="43" t="s">
        <v>75</v>
      </c>
      <c r="C76" s="33"/>
      <c r="D76" s="33" t="s">
        <v>130</v>
      </c>
      <c r="E76" s="33" t="s">
        <v>143</v>
      </c>
      <c r="F76" s="37">
        <v>561820</v>
      </c>
      <c r="G76" s="294" t="s">
        <v>23</v>
      </c>
      <c r="H76" s="43" t="s">
        <v>77</v>
      </c>
      <c r="I76" s="294">
        <v>1399</v>
      </c>
      <c r="J76" s="6" t="s">
        <v>25</v>
      </c>
      <c r="K76" s="562"/>
      <c r="L76" s="33" t="s">
        <v>72</v>
      </c>
      <c r="M76" s="33"/>
      <c r="N76" s="623" t="s">
        <v>581</v>
      </c>
      <c r="O76" s="236" t="s">
        <v>1833</v>
      </c>
      <c r="P76" s="563"/>
    </row>
    <row r="77" spans="1:16" s="552" customFormat="1" ht="72">
      <c r="A77" s="431">
        <v>71</v>
      </c>
      <c r="B77" s="43" t="s">
        <v>20</v>
      </c>
      <c r="C77" s="43"/>
      <c r="D77" s="236" t="s">
        <v>73</v>
      </c>
      <c r="E77" s="33" t="s">
        <v>142</v>
      </c>
      <c r="F77" s="47">
        <v>1282840</v>
      </c>
      <c r="G77" s="354" t="s">
        <v>23</v>
      </c>
      <c r="H77" s="354" t="s">
        <v>77</v>
      </c>
      <c r="I77" s="354">
        <v>1399</v>
      </c>
      <c r="J77" s="354" t="s">
        <v>25</v>
      </c>
      <c r="K77" s="233"/>
      <c r="L77" s="33" t="s">
        <v>3</v>
      </c>
      <c r="M77" s="33"/>
      <c r="N77" s="623" t="s">
        <v>581</v>
      </c>
      <c r="O77" s="236" t="s">
        <v>1833</v>
      </c>
      <c r="P77" s="553"/>
    </row>
  </sheetData>
  <mergeCells count="24">
    <mergeCell ref="P59:P60"/>
    <mergeCell ref="O5:O6"/>
    <mergeCell ref="P34:P35"/>
    <mergeCell ref="P38:P39"/>
    <mergeCell ref="P41:P42"/>
    <mergeCell ref="P43:P44"/>
    <mergeCell ref="P45:P47"/>
    <mergeCell ref="P48:P49"/>
    <mergeCell ref="P50:P51"/>
    <mergeCell ref="P52:P54"/>
    <mergeCell ref="P55:P57"/>
    <mergeCell ref="A1:P4"/>
    <mergeCell ref="A5:A6"/>
    <mergeCell ref="B5:B6"/>
    <mergeCell ref="C5:C6"/>
    <mergeCell ref="D5:D6"/>
    <mergeCell ref="E5:E6"/>
    <mergeCell ref="F5:H5"/>
    <mergeCell ref="I5:I6"/>
    <mergeCell ref="P5:P6"/>
    <mergeCell ref="J5:J6"/>
    <mergeCell ref="K5:K6"/>
    <mergeCell ref="L5:M5"/>
    <mergeCell ref="N5:N6"/>
  </mergeCells>
  <pageMargins left="0.7" right="0.7" top="0.75" bottom="0.75" header="0.3" footer="0.3"/>
  <pageSetup scale="44" fitToHeight="7"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AI59"/>
  <sheetViews>
    <sheetView rightToLeft="1" view="pageBreakPreview" zoomScale="73" zoomScaleSheetLayoutView="73" workbookViewId="0">
      <pane ySplit="6" topLeftCell="A57" activePane="bottomLeft" state="frozen"/>
      <selection pane="bottomLeft" activeCell="E37" sqref="E37"/>
    </sheetView>
  </sheetViews>
  <sheetFormatPr defaultColWidth="9.140625" defaultRowHeight="15"/>
  <cols>
    <col min="1" max="1" width="6.28515625" style="1" customWidth="1"/>
    <col min="2" max="2" width="13.28515625" style="10" customWidth="1"/>
    <col min="3" max="3" width="9.28515625" style="10" customWidth="1"/>
    <col min="4" max="4" width="16.85546875" style="10" customWidth="1"/>
    <col min="5" max="5" width="41.28515625" style="10" customWidth="1"/>
    <col min="6" max="6" width="13.7109375" style="2" customWidth="1"/>
    <col min="7" max="7" width="10" style="2" customWidth="1"/>
    <col min="8" max="8" width="14.7109375" style="2" customWidth="1"/>
    <col min="9" max="9" width="11" style="1" customWidth="1"/>
    <col min="10" max="10" width="14.42578125" style="1" customWidth="1"/>
    <col min="11" max="11" width="12" style="1" customWidth="1"/>
    <col min="12" max="12" width="7.5703125" style="626" customWidth="1"/>
    <col min="13" max="13" width="13.85546875" style="9" customWidth="1"/>
    <col min="14" max="14" width="25.7109375" style="9" customWidth="1"/>
    <col min="15" max="15" width="19.28515625" style="9" customWidth="1"/>
    <col min="16" max="16" width="20.42578125" style="626" customWidth="1"/>
    <col min="17" max="16384" width="9.140625" style="626"/>
  </cols>
  <sheetData>
    <row r="1" spans="1:16" ht="18" customHeight="1">
      <c r="A1" s="788" t="s">
        <v>1881</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41.25" customHeight="1">
      <c r="A5" s="791" t="s">
        <v>0</v>
      </c>
      <c r="B5" s="791" t="s">
        <v>14</v>
      </c>
      <c r="C5" s="791" t="s">
        <v>19</v>
      </c>
      <c r="D5" s="791" t="s">
        <v>1</v>
      </c>
      <c r="E5" s="791" t="s">
        <v>15</v>
      </c>
      <c r="F5" s="791" t="s">
        <v>9</v>
      </c>
      <c r="G5" s="791"/>
      <c r="H5" s="791"/>
      <c r="I5" s="791" t="s">
        <v>7</v>
      </c>
      <c r="J5" s="791" t="s">
        <v>6</v>
      </c>
      <c r="K5" s="791" t="s">
        <v>16</v>
      </c>
      <c r="L5" s="791" t="s">
        <v>2</v>
      </c>
      <c r="M5" s="791"/>
      <c r="N5" s="791" t="s">
        <v>5</v>
      </c>
      <c r="O5" s="791" t="s">
        <v>13</v>
      </c>
      <c r="P5" s="791" t="s">
        <v>8</v>
      </c>
    </row>
    <row r="6" spans="1:16" ht="33.6" customHeight="1">
      <c r="A6" s="791"/>
      <c r="B6" s="791"/>
      <c r="C6" s="791"/>
      <c r="D6" s="791"/>
      <c r="E6" s="791"/>
      <c r="F6" s="624" t="s">
        <v>10</v>
      </c>
      <c r="G6" s="624" t="s">
        <v>11</v>
      </c>
      <c r="H6" s="624" t="s">
        <v>12</v>
      </c>
      <c r="I6" s="791"/>
      <c r="J6" s="791"/>
      <c r="K6" s="791"/>
      <c r="L6" s="624" t="s">
        <v>3</v>
      </c>
      <c r="M6" s="624" t="s">
        <v>4</v>
      </c>
      <c r="N6" s="791"/>
      <c r="O6" s="791"/>
      <c r="P6" s="791"/>
    </row>
    <row r="7" spans="1:16" s="5" customFormat="1" ht="127.9" customHeight="1">
      <c r="A7" s="354">
        <v>1</v>
      </c>
      <c r="B7" s="6" t="s">
        <v>144</v>
      </c>
      <c r="C7" s="6" t="s">
        <v>1809</v>
      </c>
      <c r="D7" s="627" t="s">
        <v>1785</v>
      </c>
      <c r="E7" s="627" t="s">
        <v>1810</v>
      </c>
      <c r="F7" s="184">
        <v>34669991</v>
      </c>
      <c r="G7" s="354" t="s">
        <v>23</v>
      </c>
      <c r="H7" s="354" t="s">
        <v>24</v>
      </c>
      <c r="I7" s="354">
        <v>1399</v>
      </c>
      <c r="J7" s="625" t="s">
        <v>25</v>
      </c>
      <c r="K7" s="288">
        <v>1</v>
      </c>
      <c r="L7" s="43"/>
      <c r="M7" s="43" t="s">
        <v>33</v>
      </c>
      <c r="N7" s="43"/>
      <c r="O7" s="43"/>
      <c r="P7" s="354"/>
    </row>
    <row r="8" spans="1:16" ht="54">
      <c r="A8" s="354">
        <v>2</v>
      </c>
      <c r="B8" s="6" t="s">
        <v>144</v>
      </c>
      <c r="C8" s="6" t="s">
        <v>1811</v>
      </c>
      <c r="D8" s="627" t="s">
        <v>1523</v>
      </c>
      <c r="E8" s="627" t="s">
        <v>1812</v>
      </c>
      <c r="F8" s="184">
        <v>2159836</v>
      </c>
      <c r="G8" s="354" t="s">
        <v>23</v>
      </c>
      <c r="H8" s="354" t="s">
        <v>24</v>
      </c>
      <c r="I8" s="354">
        <v>1399</v>
      </c>
      <c r="J8" s="625" t="s">
        <v>25</v>
      </c>
      <c r="K8" s="288">
        <v>1</v>
      </c>
      <c r="L8" s="43"/>
      <c r="M8" s="43" t="s">
        <v>33</v>
      </c>
      <c r="N8" s="43"/>
      <c r="O8" s="43"/>
      <c r="P8" s="354"/>
    </row>
    <row r="9" spans="1:16" ht="65.25" customHeight="1">
      <c r="A9" s="354">
        <v>3</v>
      </c>
      <c r="B9" s="6" t="s">
        <v>144</v>
      </c>
      <c r="C9" s="6"/>
      <c r="D9" s="627" t="s">
        <v>28</v>
      </c>
      <c r="E9" s="627" t="s">
        <v>145</v>
      </c>
      <c r="F9" s="184">
        <v>90000</v>
      </c>
      <c r="G9" s="354" t="s">
        <v>23</v>
      </c>
      <c r="H9" s="354" t="s">
        <v>24</v>
      </c>
      <c r="I9" s="354">
        <v>1399</v>
      </c>
      <c r="J9" s="625" t="s">
        <v>25</v>
      </c>
      <c r="K9" s="288">
        <v>1</v>
      </c>
      <c r="L9" s="632"/>
      <c r="M9" s="43" t="s">
        <v>33</v>
      </c>
      <c r="N9" s="632"/>
      <c r="O9" s="632"/>
      <c r="P9" s="629"/>
    </row>
    <row r="10" spans="1:16" ht="63" customHeight="1">
      <c r="A10" s="354">
        <v>4</v>
      </c>
      <c r="B10" s="6" t="s">
        <v>144</v>
      </c>
      <c r="C10" s="6"/>
      <c r="D10" s="627" t="s">
        <v>28</v>
      </c>
      <c r="E10" s="630" t="s">
        <v>165</v>
      </c>
      <c r="F10" s="184">
        <v>8400000</v>
      </c>
      <c r="G10" s="354" t="s">
        <v>23</v>
      </c>
      <c r="H10" s="354" t="s">
        <v>24</v>
      </c>
      <c r="I10" s="354">
        <v>1399</v>
      </c>
      <c r="J10" s="625" t="s">
        <v>25</v>
      </c>
      <c r="K10" s="288">
        <v>1</v>
      </c>
      <c r="L10" s="632"/>
      <c r="M10" s="43" t="s">
        <v>33</v>
      </c>
      <c r="N10" s="632" t="s">
        <v>17</v>
      </c>
      <c r="O10" s="632" t="s">
        <v>17</v>
      </c>
      <c r="P10" s="631"/>
    </row>
    <row r="11" spans="1:16" ht="65.25" customHeight="1">
      <c r="A11" s="354">
        <v>5</v>
      </c>
      <c r="B11" s="6" t="s">
        <v>144</v>
      </c>
      <c r="C11" s="6"/>
      <c r="D11" s="627" t="s">
        <v>116</v>
      </c>
      <c r="E11" s="630" t="s">
        <v>22</v>
      </c>
      <c r="F11" s="184">
        <v>640000</v>
      </c>
      <c r="G11" s="354" t="s">
        <v>23</v>
      </c>
      <c r="H11" s="354" t="s">
        <v>24</v>
      </c>
      <c r="I11" s="354">
        <v>1399</v>
      </c>
      <c r="J11" s="625" t="s">
        <v>25</v>
      </c>
      <c r="K11" s="288">
        <v>1</v>
      </c>
      <c r="L11" s="632"/>
      <c r="M11" s="43" t="s">
        <v>33</v>
      </c>
      <c r="N11" s="632"/>
      <c r="O11" s="804"/>
      <c r="P11" s="631"/>
    </row>
    <row r="12" spans="1:16" ht="53.45" customHeight="1">
      <c r="A12" s="354">
        <v>6</v>
      </c>
      <c r="B12" s="6" t="s">
        <v>144</v>
      </c>
      <c r="C12" s="6"/>
      <c r="D12" s="627" t="s">
        <v>116</v>
      </c>
      <c r="E12" s="630" t="s">
        <v>131</v>
      </c>
      <c r="F12" s="184">
        <v>17000</v>
      </c>
      <c r="G12" s="354" t="s">
        <v>23</v>
      </c>
      <c r="H12" s="354" t="s">
        <v>24</v>
      </c>
      <c r="I12" s="354">
        <v>1399</v>
      </c>
      <c r="J12" s="625" t="s">
        <v>25</v>
      </c>
      <c r="K12" s="288">
        <v>1</v>
      </c>
      <c r="L12" s="632"/>
      <c r="M12" s="43" t="s">
        <v>33</v>
      </c>
      <c r="N12" s="632"/>
      <c r="O12" s="804"/>
      <c r="P12" s="631"/>
    </row>
    <row r="13" spans="1:16" ht="45" customHeight="1">
      <c r="A13" s="354">
        <v>7</v>
      </c>
      <c r="B13" s="6" t="s">
        <v>144</v>
      </c>
      <c r="C13" s="6"/>
      <c r="D13" s="627" t="s">
        <v>31</v>
      </c>
      <c r="E13" s="630" t="s">
        <v>119</v>
      </c>
      <c r="F13" s="184">
        <v>377000</v>
      </c>
      <c r="G13" s="354" t="s">
        <v>23</v>
      </c>
      <c r="H13" s="354" t="s">
        <v>24</v>
      </c>
      <c r="I13" s="354">
        <v>1399</v>
      </c>
      <c r="J13" s="625" t="s">
        <v>25</v>
      </c>
      <c r="K13" s="288">
        <v>1</v>
      </c>
      <c r="L13" s="175"/>
      <c r="M13" s="43" t="s">
        <v>33</v>
      </c>
      <c r="N13" s="175"/>
      <c r="O13" s="43"/>
      <c r="P13" s="631"/>
    </row>
    <row r="14" spans="1:16" ht="59.45" customHeight="1">
      <c r="A14" s="354">
        <v>8</v>
      </c>
      <c r="B14" s="6" t="s">
        <v>144</v>
      </c>
      <c r="C14" s="6"/>
      <c r="D14" s="627" t="s">
        <v>31</v>
      </c>
      <c r="E14" s="630" t="s">
        <v>120</v>
      </c>
      <c r="F14" s="184">
        <v>337088</v>
      </c>
      <c r="G14" s="354" t="s">
        <v>23</v>
      </c>
      <c r="H14" s="354" t="s">
        <v>24</v>
      </c>
      <c r="I14" s="354">
        <v>1399</v>
      </c>
      <c r="J14" s="625" t="s">
        <v>25</v>
      </c>
      <c r="K14" s="288">
        <v>1</v>
      </c>
      <c r="L14" s="175"/>
      <c r="M14" s="43" t="s">
        <v>33</v>
      </c>
      <c r="N14" s="175"/>
      <c r="O14" s="43"/>
      <c r="P14" s="631"/>
    </row>
    <row r="15" spans="1:16" ht="43.9" customHeight="1">
      <c r="A15" s="354">
        <v>9</v>
      </c>
      <c r="B15" s="6" t="s">
        <v>144</v>
      </c>
      <c r="C15" s="6"/>
      <c r="D15" s="627" t="s">
        <v>31</v>
      </c>
      <c r="E15" s="630" t="s">
        <v>121</v>
      </c>
      <c r="F15" s="184">
        <v>244440</v>
      </c>
      <c r="G15" s="354" t="s">
        <v>23</v>
      </c>
      <c r="H15" s="354" t="s">
        <v>24</v>
      </c>
      <c r="I15" s="354">
        <v>1399</v>
      </c>
      <c r="J15" s="625" t="s">
        <v>25</v>
      </c>
      <c r="K15" s="288">
        <v>1</v>
      </c>
      <c r="L15" s="175"/>
      <c r="M15" s="43" t="s">
        <v>33</v>
      </c>
      <c r="N15" s="175"/>
      <c r="O15" s="43"/>
      <c r="P15" s="631"/>
    </row>
    <row r="16" spans="1:16" ht="54">
      <c r="A16" s="354">
        <v>10</v>
      </c>
      <c r="B16" s="6" t="s">
        <v>144</v>
      </c>
      <c r="C16" s="6"/>
      <c r="D16" s="627" t="s">
        <v>31</v>
      </c>
      <c r="E16" s="630" t="s">
        <v>122</v>
      </c>
      <c r="F16" s="184">
        <v>368000</v>
      </c>
      <c r="G16" s="354" t="s">
        <v>23</v>
      </c>
      <c r="H16" s="354" t="s">
        <v>24</v>
      </c>
      <c r="I16" s="354">
        <v>1399</v>
      </c>
      <c r="J16" s="625" t="s">
        <v>25</v>
      </c>
      <c r="K16" s="288">
        <v>1</v>
      </c>
      <c r="L16" s="175"/>
      <c r="M16" s="43" t="s">
        <v>33</v>
      </c>
      <c r="N16" s="175"/>
      <c r="O16" s="43"/>
      <c r="P16" s="631"/>
    </row>
    <row r="17" spans="1:35" ht="54">
      <c r="A17" s="354">
        <v>11</v>
      </c>
      <c r="B17" s="6" t="s">
        <v>144</v>
      </c>
      <c r="C17" s="6"/>
      <c r="D17" s="627" t="s">
        <v>31</v>
      </c>
      <c r="E17" s="630" t="s">
        <v>734</v>
      </c>
      <c r="F17" s="184">
        <f>58333*4</f>
        <v>233332</v>
      </c>
      <c r="G17" s="354" t="s">
        <v>23</v>
      </c>
      <c r="H17" s="354" t="s">
        <v>24</v>
      </c>
      <c r="I17" s="354">
        <v>1399</v>
      </c>
      <c r="J17" s="625" t="s">
        <v>25</v>
      </c>
      <c r="K17" s="288">
        <v>1</v>
      </c>
      <c r="L17" s="175"/>
      <c r="M17" s="43" t="s">
        <v>33</v>
      </c>
      <c r="N17" s="175"/>
      <c r="O17" s="632"/>
      <c r="P17" s="631"/>
    </row>
    <row r="18" spans="1:35" ht="36">
      <c r="A18" s="354">
        <v>12</v>
      </c>
      <c r="B18" s="6" t="s">
        <v>144</v>
      </c>
      <c r="C18" s="6"/>
      <c r="D18" s="630" t="s">
        <v>40</v>
      </c>
      <c r="E18" s="6" t="s">
        <v>616</v>
      </c>
      <c r="F18" s="184">
        <v>1413600</v>
      </c>
      <c r="G18" s="354" t="s">
        <v>23</v>
      </c>
      <c r="H18" s="354" t="s">
        <v>41</v>
      </c>
      <c r="I18" s="354">
        <v>1399</v>
      </c>
      <c r="J18" s="625" t="s">
        <v>25</v>
      </c>
      <c r="K18" s="288">
        <v>1</v>
      </c>
      <c r="L18" s="175"/>
      <c r="M18" s="43" t="s">
        <v>33</v>
      </c>
      <c r="N18" s="175"/>
      <c r="O18" s="633"/>
      <c r="P18" s="805"/>
    </row>
    <row r="19" spans="1:35" ht="45" customHeight="1">
      <c r="A19" s="354">
        <v>13</v>
      </c>
      <c r="B19" s="6" t="s">
        <v>144</v>
      </c>
      <c r="C19" s="6"/>
      <c r="D19" s="630" t="s">
        <v>40</v>
      </c>
      <c r="E19" s="6" t="s">
        <v>1813</v>
      </c>
      <c r="F19" s="184">
        <f xml:space="preserve"> 58032*90</f>
        <v>5222880</v>
      </c>
      <c r="G19" s="354" t="s">
        <v>23</v>
      </c>
      <c r="H19" s="354" t="s">
        <v>41</v>
      </c>
      <c r="I19" s="354">
        <v>1399</v>
      </c>
      <c r="J19" s="625" t="s">
        <v>25</v>
      </c>
      <c r="K19" s="288">
        <v>1</v>
      </c>
      <c r="L19" s="175"/>
      <c r="M19" s="43" t="s">
        <v>33</v>
      </c>
      <c r="N19" s="175"/>
      <c r="O19" s="632"/>
      <c r="P19" s="805"/>
      <c r="Q19" s="29"/>
      <c r="R19" s="29"/>
    </row>
    <row r="20" spans="1:35" ht="78" customHeight="1">
      <c r="A20" s="354">
        <v>14</v>
      </c>
      <c r="B20" s="6" t="s">
        <v>144</v>
      </c>
      <c r="C20" s="6"/>
      <c r="D20" s="630" t="s">
        <v>40</v>
      </c>
      <c r="E20" s="6" t="s">
        <v>697</v>
      </c>
      <c r="F20" s="184">
        <v>0</v>
      </c>
      <c r="G20" s="354" t="s">
        <v>17</v>
      </c>
      <c r="H20" s="354" t="s">
        <v>17</v>
      </c>
      <c r="I20" s="354">
        <v>1399</v>
      </c>
      <c r="J20" s="625" t="s">
        <v>25</v>
      </c>
      <c r="K20" s="288">
        <v>1</v>
      </c>
      <c r="L20" s="175"/>
      <c r="M20" s="43" t="s">
        <v>33</v>
      </c>
      <c r="N20" s="175"/>
      <c r="O20" s="309"/>
      <c r="P20" s="781" t="s">
        <v>2137</v>
      </c>
      <c r="Q20" s="29"/>
      <c r="R20" s="29"/>
    </row>
    <row r="21" spans="1:35" ht="72">
      <c r="A21" s="354">
        <v>15</v>
      </c>
      <c r="B21" s="6" t="s">
        <v>144</v>
      </c>
      <c r="C21" s="6"/>
      <c r="D21" s="630" t="s">
        <v>40</v>
      </c>
      <c r="E21" s="307" t="s">
        <v>44</v>
      </c>
      <c r="F21" s="184">
        <f>8* 102300</f>
        <v>818400</v>
      </c>
      <c r="G21" s="354" t="s">
        <v>23</v>
      </c>
      <c r="H21" s="354" t="s">
        <v>41</v>
      </c>
      <c r="I21" s="354">
        <v>1399</v>
      </c>
      <c r="J21" s="625" t="s">
        <v>25</v>
      </c>
      <c r="K21" s="288">
        <v>1</v>
      </c>
      <c r="L21" s="175" t="s">
        <v>947</v>
      </c>
      <c r="M21" s="43" t="s">
        <v>33</v>
      </c>
      <c r="N21" s="244" t="s">
        <v>1814</v>
      </c>
      <c r="O21" s="632" t="s">
        <v>1815</v>
      </c>
      <c r="P21" s="805"/>
      <c r="Q21" s="29"/>
      <c r="R21" s="29"/>
    </row>
    <row r="22" spans="1:35" ht="72">
      <c r="A22" s="354">
        <v>16</v>
      </c>
      <c r="B22" s="6" t="s">
        <v>144</v>
      </c>
      <c r="C22" s="6"/>
      <c r="D22" s="630" t="s">
        <v>40</v>
      </c>
      <c r="E22" s="307" t="s">
        <v>160</v>
      </c>
      <c r="F22" s="184">
        <f>68634*5</f>
        <v>343170</v>
      </c>
      <c r="G22" s="354" t="s">
        <v>23</v>
      </c>
      <c r="H22" s="354" t="s">
        <v>41</v>
      </c>
      <c r="I22" s="354">
        <v>1399</v>
      </c>
      <c r="J22" s="625" t="s">
        <v>25</v>
      </c>
      <c r="K22" s="288">
        <v>1</v>
      </c>
      <c r="L22" s="175" t="s">
        <v>947</v>
      </c>
      <c r="M22" s="43" t="s">
        <v>33</v>
      </c>
      <c r="N22" s="244" t="s">
        <v>1814</v>
      </c>
      <c r="O22" s="632" t="s">
        <v>1815</v>
      </c>
      <c r="P22" s="805"/>
      <c r="Q22" s="29"/>
      <c r="R22" s="29"/>
    </row>
    <row r="23" spans="1:35" ht="72">
      <c r="A23" s="354">
        <v>17</v>
      </c>
      <c r="B23" s="6" t="s">
        <v>144</v>
      </c>
      <c r="C23" s="6"/>
      <c r="D23" s="630" t="s">
        <v>40</v>
      </c>
      <c r="E23" s="6" t="s">
        <v>1816</v>
      </c>
      <c r="F23" s="184">
        <f>12*223200</f>
        <v>2678400</v>
      </c>
      <c r="G23" s="354" t="s">
        <v>23</v>
      </c>
      <c r="H23" s="354" t="s">
        <v>41</v>
      </c>
      <c r="I23" s="354">
        <v>1399</v>
      </c>
      <c r="J23" s="625" t="s">
        <v>25</v>
      </c>
      <c r="K23" s="288">
        <v>1</v>
      </c>
      <c r="L23" s="175" t="s">
        <v>947</v>
      </c>
      <c r="M23" s="43" t="s">
        <v>33</v>
      </c>
      <c r="N23" s="244" t="s">
        <v>1814</v>
      </c>
      <c r="O23" s="632" t="s">
        <v>1815</v>
      </c>
      <c r="P23" s="805"/>
      <c r="Q23" s="29"/>
      <c r="R23" s="29"/>
    </row>
    <row r="24" spans="1:35" ht="72">
      <c r="A24" s="354">
        <v>18</v>
      </c>
      <c r="B24" s="6" t="s">
        <v>144</v>
      </c>
      <c r="C24" s="6"/>
      <c r="D24" s="630" t="s">
        <v>40</v>
      </c>
      <c r="E24" s="6" t="s">
        <v>443</v>
      </c>
      <c r="F24" s="184">
        <f>5*  304452</f>
        <v>1522260</v>
      </c>
      <c r="G24" s="354" t="s">
        <v>23</v>
      </c>
      <c r="H24" s="354" t="s">
        <v>41</v>
      </c>
      <c r="I24" s="354">
        <v>1399</v>
      </c>
      <c r="J24" s="625" t="s">
        <v>25</v>
      </c>
      <c r="K24" s="288">
        <v>1</v>
      </c>
      <c r="L24" s="175" t="s">
        <v>947</v>
      </c>
      <c r="M24" s="43" t="s">
        <v>33</v>
      </c>
      <c r="N24" s="244" t="s">
        <v>1814</v>
      </c>
      <c r="O24" s="632" t="s">
        <v>1815</v>
      </c>
      <c r="P24" s="805"/>
      <c r="Q24" s="29"/>
      <c r="R24" s="29"/>
    </row>
    <row r="25" spans="1:35" ht="36">
      <c r="A25" s="354">
        <v>19</v>
      </c>
      <c r="B25" s="6" t="s">
        <v>144</v>
      </c>
      <c r="C25" s="6"/>
      <c r="D25" s="630" t="s">
        <v>40</v>
      </c>
      <c r="E25" s="6" t="s">
        <v>614</v>
      </c>
      <c r="F25" s="184">
        <f>900* 148</f>
        <v>133200</v>
      </c>
      <c r="G25" s="354" t="s">
        <v>23</v>
      </c>
      <c r="H25" s="354" t="s">
        <v>41</v>
      </c>
      <c r="I25" s="354">
        <v>1399</v>
      </c>
      <c r="J25" s="625" t="s">
        <v>25</v>
      </c>
      <c r="K25" s="288">
        <v>1</v>
      </c>
      <c r="L25" s="175"/>
      <c r="M25" s="43" t="s">
        <v>33</v>
      </c>
      <c r="N25" s="175"/>
      <c r="O25" s="632"/>
      <c r="P25" s="805"/>
      <c r="Q25" s="29"/>
      <c r="R25" s="29"/>
    </row>
    <row r="26" spans="1:35" ht="72">
      <c r="A26" s="354">
        <v>20</v>
      </c>
      <c r="B26" s="6" t="s">
        <v>144</v>
      </c>
      <c r="C26" s="6"/>
      <c r="D26" s="630" t="s">
        <v>40</v>
      </c>
      <c r="E26" s="6" t="s">
        <v>166</v>
      </c>
      <c r="F26" s="184">
        <f>3* 375000</f>
        <v>1125000</v>
      </c>
      <c r="G26" s="354" t="s">
        <v>23</v>
      </c>
      <c r="H26" s="354" t="s">
        <v>41</v>
      </c>
      <c r="I26" s="354">
        <v>1399</v>
      </c>
      <c r="J26" s="625" t="s">
        <v>25</v>
      </c>
      <c r="K26" s="288">
        <v>1</v>
      </c>
      <c r="L26" s="175" t="s">
        <v>947</v>
      </c>
      <c r="M26" s="43" t="s">
        <v>33</v>
      </c>
      <c r="N26" s="244" t="s">
        <v>1814</v>
      </c>
      <c r="O26" s="632" t="s">
        <v>1815</v>
      </c>
      <c r="P26" s="631"/>
      <c r="Q26" s="29"/>
      <c r="R26" s="29"/>
    </row>
    <row r="27" spans="1:35" ht="36">
      <c r="A27" s="354">
        <v>21</v>
      </c>
      <c r="B27" s="6" t="s">
        <v>144</v>
      </c>
      <c r="C27" s="6"/>
      <c r="D27" s="630" t="s">
        <v>40</v>
      </c>
      <c r="E27" s="6" t="s">
        <v>1817</v>
      </c>
      <c r="F27" s="184">
        <f>20*22320</f>
        <v>446400</v>
      </c>
      <c r="G27" s="354" t="s">
        <v>23</v>
      </c>
      <c r="H27" s="354" t="s">
        <v>41</v>
      </c>
      <c r="I27" s="354">
        <v>1399</v>
      </c>
      <c r="J27" s="625" t="s">
        <v>25</v>
      </c>
      <c r="K27" s="288">
        <v>1</v>
      </c>
      <c r="L27" s="175"/>
      <c r="M27" s="43" t="s">
        <v>33</v>
      </c>
      <c r="N27" s="175"/>
      <c r="O27" s="632"/>
      <c r="P27" s="805"/>
      <c r="Q27" s="29"/>
      <c r="R27" s="29"/>
    </row>
    <row r="28" spans="1:35" ht="51" customHeight="1">
      <c r="A28" s="354">
        <v>22</v>
      </c>
      <c r="B28" s="6" t="s">
        <v>144</v>
      </c>
      <c r="C28" s="6"/>
      <c r="D28" s="630" t="s">
        <v>40</v>
      </c>
      <c r="E28" s="6" t="s">
        <v>1818</v>
      </c>
      <c r="F28" s="184">
        <f>2*297600</f>
        <v>595200</v>
      </c>
      <c r="G28" s="354" t="s">
        <v>23</v>
      </c>
      <c r="H28" s="354" t="s">
        <v>41</v>
      </c>
      <c r="I28" s="354">
        <v>1399</v>
      </c>
      <c r="J28" s="625" t="s">
        <v>25</v>
      </c>
      <c r="K28" s="288">
        <v>1</v>
      </c>
      <c r="L28" s="175"/>
      <c r="M28" s="43" t="s">
        <v>33</v>
      </c>
      <c r="N28" s="175"/>
      <c r="O28" s="632"/>
      <c r="P28" s="805"/>
      <c r="Q28" s="29"/>
      <c r="R28" s="29"/>
    </row>
    <row r="29" spans="1:35" ht="36">
      <c r="A29" s="354">
        <v>23</v>
      </c>
      <c r="B29" s="6" t="s">
        <v>144</v>
      </c>
      <c r="C29" s="6"/>
      <c r="D29" s="630" t="s">
        <v>40</v>
      </c>
      <c r="E29" s="6" t="s">
        <v>46</v>
      </c>
      <c r="F29" s="184">
        <f>5*52471</f>
        <v>262355</v>
      </c>
      <c r="G29" s="354" t="s">
        <v>23</v>
      </c>
      <c r="H29" s="354" t="s">
        <v>41</v>
      </c>
      <c r="I29" s="354">
        <v>1399</v>
      </c>
      <c r="J29" s="625" t="s">
        <v>25</v>
      </c>
      <c r="K29" s="288">
        <v>1</v>
      </c>
      <c r="L29" s="175"/>
      <c r="M29" s="43" t="s">
        <v>33</v>
      </c>
      <c r="N29" s="175"/>
      <c r="O29" s="632"/>
      <c r="P29" s="631"/>
      <c r="Q29" s="29"/>
      <c r="R29" s="29"/>
    </row>
    <row r="30" spans="1:35" ht="36">
      <c r="A30" s="354">
        <v>24</v>
      </c>
      <c r="B30" s="6" t="s">
        <v>144</v>
      </c>
      <c r="C30" s="6"/>
      <c r="D30" s="630" t="s">
        <v>40</v>
      </c>
      <c r="E30" s="6" t="s">
        <v>440</v>
      </c>
      <c r="F30" s="184">
        <f>250* 1518</f>
        <v>379500</v>
      </c>
      <c r="G30" s="354" t="s">
        <v>23</v>
      </c>
      <c r="H30" s="354" t="s">
        <v>41</v>
      </c>
      <c r="I30" s="354">
        <v>1399</v>
      </c>
      <c r="J30" s="625" t="s">
        <v>25</v>
      </c>
      <c r="K30" s="288">
        <v>1</v>
      </c>
      <c r="L30" s="175"/>
      <c r="M30" s="43" t="s">
        <v>33</v>
      </c>
      <c r="N30" s="175"/>
      <c r="O30" s="632"/>
      <c r="P30" s="631"/>
      <c r="Q30" s="29"/>
      <c r="R30" s="29"/>
      <c r="X30" s="806"/>
      <c r="Y30" s="806"/>
      <c r="Z30" s="806"/>
      <c r="AA30" s="806"/>
      <c r="AB30" s="806"/>
      <c r="AC30" s="806"/>
      <c r="AD30" s="806"/>
      <c r="AE30" s="806"/>
      <c r="AF30" s="806"/>
      <c r="AG30" s="806"/>
      <c r="AH30" s="806"/>
      <c r="AI30" s="806"/>
    </row>
    <row r="31" spans="1:35" ht="36">
      <c r="A31" s="354">
        <v>25</v>
      </c>
      <c r="B31" s="6" t="s">
        <v>144</v>
      </c>
      <c r="C31" s="6"/>
      <c r="D31" s="630" t="s">
        <v>40</v>
      </c>
      <c r="E31" s="6" t="s">
        <v>48</v>
      </c>
      <c r="F31" s="184">
        <f>2* 42514</f>
        <v>85028</v>
      </c>
      <c r="G31" s="354" t="s">
        <v>23</v>
      </c>
      <c r="H31" s="354" t="s">
        <v>41</v>
      </c>
      <c r="I31" s="354">
        <v>1399</v>
      </c>
      <c r="J31" s="625" t="s">
        <v>25</v>
      </c>
      <c r="K31" s="288">
        <v>1</v>
      </c>
      <c r="L31" s="175"/>
      <c r="M31" s="43" t="s">
        <v>33</v>
      </c>
      <c r="N31" s="175"/>
      <c r="O31" s="632"/>
      <c r="P31" s="805"/>
      <c r="Q31" s="29"/>
      <c r="R31" s="29"/>
    </row>
    <row r="32" spans="1:35" ht="36">
      <c r="A32" s="354">
        <v>26</v>
      </c>
      <c r="B32" s="6" t="s">
        <v>144</v>
      </c>
      <c r="C32" s="6"/>
      <c r="D32" s="630" t="s">
        <v>40</v>
      </c>
      <c r="E32" s="630" t="s">
        <v>49</v>
      </c>
      <c r="F32" s="184">
        <f>150* 1041</f>
        <v>156150</v>
      </c>
      <c r="G32" s="354" t="s">
        <v>23</v>
      </c>
      <c r="H32" s="354" t="s">
        <v>41</v>
      </c>
      <c r="I32" s="354">
        <v>1399</v>
      </c>
      <c r="J32" s="625" t="s">
        <v>25</v>
      </c>
      <c r="K32" s="288">
        <v>1</v>
      </c>
      <c r="L32" s="175"/>
      <c r="M32" s="43" t="s">
        <v>33</v>
      </c>
      <c r="N32" s="175"/>
      <c r="O32" s="632"/>
      <c r="P32" s="805"/>
      <c r="Q32" s="29"/>
      <c r="R32" s="29"/>
    </row>
    <row r="33" spans="1:18" ht="36">
      <c r="A33" s="354">
        <v>27</v>
      </c>
      <c r="B33" s="6" t="s">
        <v>144</v>
      </c>
      <c r="C33" s="6"/>
      <c r="D33" s="630" t="s">
        <v>40</v>
      </c>
      <c r="E33" s="630" t="s">
        <v>167</v>
      </c>
      <c r="F33" s="184">
        <f>200* 729</f>
        <v>145800</v>
      </c>
      <c r="G33" s="354" t="s">
        <v>23</v>
      </c>
      <c r="H33" s="354" t="s">
        <v>41</v>
      </c>
      <c r="I33" s="354">
        <v>1399</v>
      </c>
      <c r="J33" s="625" t="s">
        <v>25</v>
      </c>
      <c r="K33" s="288">
        <v>1</v>
      </c>
      <c r="L33" s="175"/>
      <c r="M33" s="43" t="s">
        <v>33</v>
      </c>
      <c r="N33" s="175"/>
      <c r="O33" s="632"/>
      <c r="P33" s="805"/>
      <c r="Q33" s="29"/>
      <c r="R33" s="29"/>
    </row>
    <row r="34" spans="1:18" ht="36">
      <c r="A34" s="354">
        <v>28</v>
      </c>
      <c r="B34" s="6" t="s">
        <v>144</v>
      </c>
      <c r="C34" s="6"/>
      <c r="D34" s="630" t="s">
        <v>40</v>
      </c>
      <c r="E34" s="630" t="s">
        <v>1819</v>
      </c>
      <c r="F34" s="184">
        <f>200* 911</f>
        <v>182200</v>
      </c>
      <c r="G34" s="354" t="s">
        <v>23</v>
      </c>
      <c r="H34" s="354" t="s">
        <v>41</v>
      </c>
      <c r="I34" s="354">
        <v>1399</v>
      </c>
      <c r="J34" s="625" t="s">
        <v>25</v>
      </c>
      <c r="K34" s="288">
        <v>1</v>
      </c>
      <c r="L34" s="175"/>
      <c r="M34" s="43" t="s">
        <v>33</v>
      </c>
      <c r="N34" s="175"/>
      <c r="O34" s="632"/>
      <c r="P34" s="805"/>
      <c r="Q34" s="29"/>
      <c r="R34" s="29"/>
    </row>
    <row r="35" spans="1:18" ht="36">
      <c r="A35" s="354">
        <v>29</v>
      </c>
      <c r="B35" s="6" t="s">
        <v>144</v>
      </c>
      <c r="C35" s="6"/>
      <c r="D35" s="630" t="s">
        <v>40</v>
      </c>
      <c r="E35" s="6" t="s">
        <v>668</v>
      </c>
      <c r="F35" s="184">
        <f>1500*315</f>
        <v>472500</v>
      </c>
      <c r="G35" s="354" t="s">
        <v>23</v>
      </c>
      <c r="H35" s="354" t="s">
        <v>41</v>
      </c>
      <c r="I35" s="354">
        <v>1399</v>
      </c>
      <c r="J35" s="625" t="s">
        <v>25</v>
      </c>
      <c r="K35" s="288">
        <v>1</v>
      </c>
      <c r="L35" s="175"/>
      <c r="M35" s="43" t="s">
        <v>33</v>
      </c>
      <c r="N35" s="175"/>
      <c r="O35" s="632"/>
      <c r="P35" s="805"/>
      <c r="Q35" s="29"/>
      <c r="R35" s="29"/>
    </row>
    <row r="36" spans="1:18" ht="36">
      <c r="A36" s="354">
        <v>30</v>
      </c>
      <c r="B36" s="6" t="s">
        <v>144</v>
      </c>
      <c r="C36" s="6"/>
      <c r="D36" s="630" t="s">
        <v>40</v>
      </c>
      <c r="E36" s="6" t="s">
        <v>1820</v>
      </c>
      <c r="F36" s="184">
        <f>8* 45570</f>
        <v>364560</v>
      </c>
      <c r="G36" s="354" t="s">
        <v>23</v>
      </c>
      <c r="H36" s="354" t="s">
        <v>41</v>
      </c>
      <c r="I36" s="354">
        <v>1399</v>
      </c>
      <c r="J36" s="625" t="s">
        <v>25</v>
      </c>
      <c r="K36" s="288">
        <v>1</v>
      </c>
      <c r="L36" s="175"/>
      <c r="M36" s="43" t="s">
        <v>33</v>
      </c>
      <c r="N36" s="175"/>
      <c r="O36" s="632"/>
      <c r="P36" s="631"/>
      <c r="Q36" s="29"/>
      <c r="R36" s="29"/>
    </row>
    <row r="37" spans="1:18" ht="72">
      <c r="A37" s="354">
        <v>31</v>
      </c>
      <c r="B37" s="6" t="s">
        <v>144</v>
      </c>
      <c r="C37" s="6"/>
      <c r="D37" s="630" t="s">
        <v>40</v>
      </c>
      <c r="E37" s="6" t="s">
        <v>1821</v>
      </c>
      <c r="F37" s="184">
        <f>25* 10416</f>
        <v>260400</v>
      </c>
      <c r="G37" s="354" t="s">
        <v>23</v>
      </c>
      <c r="H37" s="354" t="s">
        <v>41</v>
      </c>
      <c r="I37" s="354">
        <v>1399</v>
      </c>
      <c r="J37" s="625" t="s">
        <v>25</v>
      </c>
      <c r="K37" s="288">
        <v>1</v>
      </c>
      <c r="L37" s="175" t="s">
        <v>947</v>
      </c>
      <c r="M37" s="43" t="s">
        <v>33</v>
      </c>
      <c r="N37" s="244" t="s">
        <v>1814</v>
      </c>
      <c r="O37" s="680" t="s">
        <v>1815</v>
      </c>
      <c r="P37" s="631"/>
      <c r="Q37" s="29"/>
      <c r="R37" s="29"/>
    </row>
    <row r="38" spans="1:18" ht="72">
      <c r="A38" s="354">
        <v>32</v>
      </c>
      <c r="B38" s="6" t="s">
        <v>144</v>
      </c>
      <c r="C38" s="6"/>
      <c r="D38" s="630" t="s">
        <v>40</v>
      </c>
      <c r="E38" s="6" t="s">
        <v>126</v>
      </c>
      <c r="F38" s="184">
        <f>5* 396797</f>
        <v>1983985</v>
      </c>
      <c r="G38" s="354" t="s">
        <v>23</v>
      </c>
      <c r="H38" s="354" t="s">
        <v>41</v>
      </c>
      <c r="I38" s="354">
        <v>1399</v>
      </c>
      <c r="J38" s="625" t="s">
        <v>25</v>
      </c>
      <c r="K38" s="288">
        <v>1</v>
      </c>
      <c r="L38" s="175" t="s">
        <v>947</v>
      </c>
      <c r="M38" s="43" t="s">
        <v>33</v>
      </c>
      <c r="N38" s="244" t="s">
        <v>1814</v>
      </c>
      <c r="O38" s="632" t="s">
        <v>1815</v>
      </c>
      <c r="P38" s="631"/>
      <c r="Q38" s="29"/>
      <c r="R38" s="29"/>
    </row>
    <row r="39" spans="1:18" ht="72">
      <c r="A39" s="354">
        <v>33</v>
      </c>
      <c r="B39" s="6" t="s">
        <v>144</v>
      </c>
      <c r="C39" s="6"/>
      <c r="D39" s="630" t="s">
        <v>40</v>
      </c>
      <c r="E39" s="6" t="s">
        <v>53</v>
      </c>
      <c r="F39" s="184">
        <f>2* 2695000</f>
        <v>5390000</v>
      </c>
      <c r="G39" s="354" t="s">
        <v>23</v>
      </c>
      <c r="H39" s="354" t="s">
        <v>41</v>
      </c>
      <c r="I39" s="354">
        <v>1399</v>
      </c>
      <c r="J39" s="625" t="s">
        <v>25</v>
      </c>
      <c r="K39" s="288">
        <v>1</v>
      </c>
      <c r="L39" s="175" t="s">
        <v>947</v>
      </c>
      <c r="M39" s="43" t="s">
        <v>33</v>
      </c>
      <c r="N39" s="244" t="s">
        <v>1814</v>
      </c>
      <c r="O39" s="632" t="s">
        <v>1815</v>
      </c>
      <c r="P39" s="631"/>
      <c r="Q39" s="29"/>
      <c r="R39" s="29"/>
    </row>
    <row r="40" spans="1:18" ht="54">
      <c r="A40" s="354">
        <v>34</v>
      </c>
      <c r="B40" s="6" t="s">
        <v>144</v>
      </c>
      <c r="C40" s="6"/>
      <c r="D40" s="630" t="s">
        <v>40</v>
      </c>
      <c r="E40" s="6" t="s">
        <v>660</v>
      </c>
      <c r="F40" s="184">
        <f>9* 66000</f>
        <v>594000</v>
      </c>
      <c r="G40" s="354" t="s">
        <v>23</v>
      </c>
      <c r="H40" s="354" t="s">
        <v>41</v>
      </c>
      <c r="I40" s="354">
        <v>1399</v>
      </c>
      <c r="J40" s="625" t="s">
        <v>25</v>
      </c>
      <c r="K40" s="288">
        <v>1</v>
      </c>
      <c r="L40" s="175"/>
      <c r="M40" s="43" t="s">
        <v>33</v>
      </c>
      <c r="N40" s="175"/>
      <c r="O40" s="632"/>
      <c r="P40" s="632"/>
      <c r="Q40" s="29"/>
      <c r="R40" s="29"/>
    </row>
    <row r="41" spans="1:18" ht="54">
      <c r="A41" s="354">
        <v>35</v>
      </c>
      <c r="B41" s="6" t="s">
        <v>144</v>
      </c>
      <c r="C41" s="6"/>
      <c r="D41" s="630" t="s">
        <v>40</v>
      </c>
      <c r="E41" s="187" t="s">
        <v>658</v>
      </c>
      <c r="F41" s="184">
        <f>18* 30000</f>
        <v>540000</v>
      </c>
      <c r="G41" s="354" t="s">
        <v>23</v>
      </c>
      <c r="H41" s="354" t="s">
        <v>41</v>
      </c>
      <c r="I41" s="354">
        <v>1399</v>
      </c>
      <c r="J41" s="625" t="s">
        <v>25</v>
      </c>
      <c r="K41" s="288">
        <v>1</v>
      </c>
      <c r="L41" s="175"/>
      <c r="M41" s="43" t="s">
        <v>33</v>
      </c>
      <c r="N41" s="175"/>
      <c r="O41" s="632"/>
      <c r="P41" s="632"/>
      <c r="Q41" s="29"/>
      <c r="R41" s="29"/>
    </row>
    <row r="42" spans="1:18" ht="36">
      <c r="A42" s="354">
        <v>36</v>
      </c>
      <c r="B42" s="6" t="s">
        <v>1822</v>
      </c>
      <c r="C42" s="6"/>
      <c r="D42" s="630" t="s">
        <v>40</v>
      </c>
      <c r="E42" s="187" t="s">
        <v>655</v>
      </c>
      <c r="F42" s="634">
        <f>75937500/3</f>
        <v>25312500</v>
      </c>
      <c r="G42" s="354" t="s">
        <v>23</v>
      </c>
      <c r="H42" s="354" t="s">
        <v>41</v>
      </c>
      <c r="I42" s="354">
        <v>1399</v>
      </c>
      <c r="J42" s="625" t="s">
        <v>25</v>
      </c>
      <c r="K42" s="288">
        <v>1</v>
      </c>
      <c r="L42" s="175"/>
      <c r="M42" s="43" t="s">
        <v>33</v>
      </c>
      <c r="N42" s="175"/>
      <c r="O42" s="632"/>
      <c r="P42" s="632"/>
      <c r="Q42" s="29"/>
      <c r="R42" s="29"/>
    </row>
    <row r="43" spans="1:18" ht="72">
      <c r="A43" s="354">
        <v>37</v>
      </c>
      <c r="B43" s="6" t="s">
        <v>144</v>
      </c>
      <c r="C43" s="6"/>
      <c r="D43" s="630" t="s">
        <v>40</v>
      </c>
      <c r="E43" s="6" t="s">
        <v>1823</v>
      </c>
      <c r="F43" s="184">
        <f>1170* 900</f>
        <v>1053000</v>
      </c>
      <c r="G43" s="354" t="s">
        <v>23</v>
      </c>
      <c r="H43" s="354" t="s">
        <v>41</v>
      </c>
      <c r="I43" s="354">
        <v>1399</v>
      </c>
      <c r="J43" s="625" t="s">
        <v>25</v>
      </c>
      <c r="K43" s="288">
        <v>1</v>
      </c>
      <c r="L43" s="175" t="s">
        <v>947</v>
      </c>
      <c r="M43" s="43" t="s">
        <v>33</v>
      </c>
      <c r="N43" s="244" t="s">
        <v>1814</v>
      </c>
      <c r="O43" s="632" t="s">
        <v>1815</v>
      </c>
      <c r="P43" s="632"/>
      <c r="Q43" s="29"/>
      <c r="R43" s="29"/>
    </row>
    <row r="44" spans="1:18" ht="54">
      <c r="A44" s="354">
        <v>38</v>
      </c>
      <c r="B44" s="6" t="s">
        <v>75</v>
      </c>
      <c r="C44" s="6"/>
      <c r="D44" s="627" t="s">
        <v>76</v>
      </c>
      <c r="E44" s="627" t="s">
        <v>1824</v>
      </c>
      <c r="F44" s="185">
        <v>50176171</v>
      </c>
      <c r="G44" s="82" t="s">
        <v>23</v>
      </c>
      <c r="H44" s="632" t="s">
        <v>77</v>
      </c>
      <c r="I44" s="82">
        <v>1399</v>
      </c>
      <c r="J44" s="630" t="s">
        <v>25</v>
      </c>
      <c r="K44" s="288">
        <v>1</v>
      </c>
      <c r="L44" s="632"/>
      <c r="M44" s="43" t="s">
        <v>33</v>
      </c>
      <c r="N44" s="630"/>
      <c r="O44" s="630"/>
      <c r="P44" s="632"/>
    </row>
    <row r="45" spans="1:18" ht="90">
      <c r="A45" s="354">
        <v>39</v>
      </c>
      <c r="B45" s="6" t="s">
        <v>144</v>
      </c>
      <c r="C45" s="6"/>
      <c r="D45" s="704" t="s">
        <v>643</v>
      </c>
      <c r="E45" s="700" t="s">
        <v>1469</v>
      </c>
      <c r="F45" s="37">
        <v>18000000</v>
      </c>
      <c r="G45" s="354" t="s">
        <v>23</v>
      </c>
      <c r="H45" s="701" t="s">
        <v>393</v>
      </c>
      <c r="I45" s="354">
        <v>1399</v>
      </c>
      <c r="J45" s="699" t="s">
        <v>25</v>
      </c>
      <c r="K45" s="97">
        <v>0</v>
      </c>
      <c r="L45" s="236" t="s">
        <v>35</v>
      </c>
      <c r="M45" s="33"/>
      <c r="N45" s="236" t="s">
        <v>1866</v>
      </c>
      <c r="O45" s="236" t="s">
        <v>1867</v>
      </c>
      <c r="P45" s="703" t="s">
        <v>17</v>
      </c>
    </row>
    <row r="46" spans="1:18" ht="90">
      <c r="A46" s="354">
        <v>40</v>
      </c>
      <c r="B46" s="6" t="s">
        <v>144</v>
      </c>
      <c r="C46" s="6"/>
      <c r="D46" s="704" t="s">
        <v>643</v>
      </c>
      <c r="E46" s="700" t="s">
        <v>1118</v>
      </c>
      <c r="F46" s="37">
        <v>4585000</v>
      </c>
      <c r="G46" s="354" t="s">
        <v>23</v>
      </c>
      <c r="H46" s="701" t="s">
        <v>393</v>
      </c>
      <c r="I46" s="354">
        <v>1399</v>
      </c>
      <c r="J46" s="699" t="s">
        <v>25</v>
      </c>
      <c r="K46" s="97">
        <v>0</v>
      </c>
      <c r="L46" s="236" t="s">
        <v>35</v>
      </c>
      <c r="M46" s="33"/>
      <c r="N46" s="236" t="s">
        <v>1866</v>
      </c>
      <c r="O46" s="236" t="s">
        <v>1867</v>
      </c>
      <c r="P46" s="703"/>
    </row>
    <row r="47" spans="1:18" ht="108">
      <c r="A47" s="354">
        <v>41</v>
      </c>
      <c r="B47" s="6" t="s">
        <v>144</v>
      </c>
      <c r="C47" s="6" t="s">
        <v>1470</v>
      </c>
      <c r="D47" s="704" t="s">
        <v>643</v>
      </c>
      <c r="E47" s="700" t="s">
        <v>401</v>
      </c>
      <c r="F47" s="37">
        <v>4424000</v>
      </c>
      <c r="G47" s="354" t="s">
        <v>23</v>
      </c>
      <c r="H47" s="701" t="s">
        <v>393</v>
      </c>
      <c r="I47" s="354">
        <v>1399</v>
      </c>
      <c r="J47" s="699" t="s">
        <v>25</v>
      </c>
      <c r="K47" s="97">
        <v>1</v>
      </c>
      <c r="L47" s="236"/>
      <c r="M47" s="97" t="s">
        <v>33</v>
      </c>
      <c r="N47" s="236"/>
      <c r="O47" s="236"/>
      <c r="P47" s="703"/>
    </row>
    <row r="48" spans="1:18" ht="50.45" customHeight="1">
      <c r="A48" s="354">
        <v>42</v>
      </c>
      <c r="B48" s="6" t="s">
        <v>144</v>
      </c>
      <c r="C48" s="6"/>
      <c r="D48" s="704" t="s">
        <v>643</v>
      </c>
      <c r="E48" s="40" t="s">
        <v>400</v>
      </c>
      <c r="F48" s="803" t="s">
        <v>399</v>
      </c>
      <c r="G48" s="354" t="s">
        <v>141</v>
      </c>
      <c r="H48" s="701" t="s">
        <v>393</v>
      </c>
      <c r="I48" s="354">
        <v>1399</v>
      </c>
      <c r="J48" s="699" t="s">
        <v>25</v>
      </c>
      <c r="K48" s="97">
        <v>0</v>
      </c>
      <c r="L48" s="236"/>
      <c r="M48" s="704" t="s">
        <v>1868</v>
      </c>
      <c r="N48" s="236"/>
      <c r="O48" s="236" t="s">
        <v>1836</v>
      </c>
      <c r="P48" s="660" t="s">
        <v>1136</v>
      </c>
    </row>
    <row r="49" spans="1:16" ht="54">
      <c r="A49" s="354">
        <v>43</v>
      </c>
      <c r="B49" s="6" t="s">
        <v>144</v>
      </c>
      <c r="C49" s="6"/>
      <c r="D49" s="704" t="s">
        <v>643</v>
      </c>
      <c r="E49" s="40" t="s">
        <v>398</v>
      </c>
      <c r="F49" s="803"/>
      <c r="G49" s="354" t="s">
        <v>141</v>
      </c>
      <c r="H49" s="701" t="s">
        <v>393</v>
      </c>
      <c r="I49" s="354">
        <v>1399</v>
      </c>
      <c r="J49" s="699" t="s">
        <v>25</v>
      </c>
      <c r="K49" s="97">
        <v>0</v>
      </c>
      <c r="L49" s="236"/>
      <c r="M49" s="33" t="s">
        <v>1868</v>
      </c>
      <c r="N49" s="236"/>
      <c r="O49" s="236" t="s">
        <v>1836</v>
      </c>
      <c r="P49" s="660" t="s">
        <v>1136</v>
      </c>
    </row>
    <row r="50" spans="1:16" ht="54">
      <c r="A50" s="354">
        <v>44</v>
      </c>
      <c r="B50" s="6" t="s">
        <v>144</v>
      </c>
      <c r="C50" s="6"/>
      <c r="D50" s="704" t="s">
        <v>643</v>
      </c>
      <c r="E50" s="40" t="s">
        <v>397</v>
      </c>
      <c r="F50" s="803"/>
      <c r="G50" s="354" t="s">
        <v>141</v>
      </c>
      <c r="H50" s="701" t="s">
        <v>393</v>
      </c>
      <c r="I50" s="354">
        <v>1399</v>
      </c>
      <c r="J50" s="699" t="s">
        <v>25</v>
      </c>
      <c r="K50" s="97">
        <v>0</v>
      </c>
      <c r="L50" s="236"/>
      <c r="M50" s="33" t="s">
        <v>1868</v>
      </c>
      <c r="N50" s="236"/>
      <c r="O50" s="236" t="s">
        <v>1836</v>
      </c>
      <c r="P50" s="660" t="s">
        <v>1136</v>
      </c>
    </row>
    <row r="51" spans="1:16" ht="105">
      <c r="A51" s="354">
        <v>45</v>
      </c>
      <c r="B51" s="6" t="s">
        <v>144</v>
      </c>
      <c r="C51" s="6"/>
      <c r="D51" s="704" t="s">
        <v>643</v>
      </c>
      <c r="E51" s="40" t="s">
        <v>396</v>
      </c>
      <c r="F51" s="803"/>
      <c r="G51" s="354" t="s">
        <v>141</v>
      </c>
      <c r="H51" s="701" t="s">
        <v>393</v>
      </c>
      <c r="I51" s="354">
        <v>1399</v>
      </c>
      <c r="J51" s="699" t="s">
        <v>25</v>
      </c>
      <c r="K51" s="97">
        <v>0</v>
      </c>
      <c r="L51" s="236"/>
      <c r="M51" s="33" t="s">
        <v>1868</v>
      </c>
      <c r="N51" s="236"/>
      <c r="O51" s="236" t="s">
        <v>1836</v>
      </c>
      <c r="P51" s="660" t="s">
        <v>1869</v>
      </c>
    </row>
    <row r="52" spans="1:16" ht="54">
      <c r="A52" s="354">
        <v>46</v>
      </c>
      <c r="B52" s="6" t="s">
        <v>144</v>
      </c>
      <c r="C52" s="6"/>
      <c r="D52" s="704" t="s">
        <v>643</v>
      </c>
      <c r="E52" s="40" t="s">
        <v>395</v>
      </c>
      <c r="F52" s="803"/>
      <c r="G52" s="354" t="s">
        <v>141</v>
      </c>
      <c r="H52" s="701" t="s">
        <v>393</v>
      </c>
      <c r="I52" s="354">
        <v>1399</v>
      </c>
      <c r="J52" s="699" t="s">
        <v>25</v>
      </c>
      <c r="K52" s="97">
        <v>0</v>
      </c>
      <c r="L52" s="236"/>
      <c r="M52" s="33" t="s">
        <v>1868</v>
      </c>
      <c r="N52" s="236"/>
      <c r="O52" s="236" t="s">
        <v>1836</v>
      </c>
      <c r="P52" s="500" t="s">
        <v>1136</v>
      </c>
    </row>
    <row r="53" spans="1:16" ht="54">
      <c r="A53" s="354">
        <v>47</v>
      </c>
      <c r="B53" s="6" t="s">
        <v>144</v>
      </c>
      <c r="C53" s="6"/>
      <c r="D53" s="704" t="s">
        <v>643</v>
      </c>
      <c r="E53" s="40" t="s">
        <v>394</v>
      </c>
      <c r="F53" s="803"/>
      <c r="G53" s="354" t="s">
        <v>141</v>
      </c>
      <c r="H53" s="701" t="s">
        <v>393</v>
      </c>
      <c r="I53" s="354">
        <v>1399</v>
      </c>
      <c r="J53" s="699" t="s">
        <v>25</v>
      </c>
      <c r="K53" s="97">
        <v>0</v>
      </c>
      <c r="L53" s="236"/>
      <c r="M53" s="33" t="s">
        <v>1868</v>
      </c>
      <c r="N53" s="236"/>
      <c r="O53" s="236" t="s">
        <v>1836</v>
      </c>
      <c r="P53" s="500" t="s">
        <v>1136</v>
      </c>
    </row>
    <row r="54" spans="1:16" ht="36">
      <c r="A54" s="354">
        <v>48</v>
      </c>
      <c r="B54" s="6" t="s">
        <v>144</v>
      </c>
      <c r="C54" s="6" t="s">
        <v>1471</v>
      </c>
      <c r="D54" s="630" t="s">
        <v>168</v>
      </c>
      <c r="E54" s="630" t="s">
        <v>1018</v>
      </c>
      <c r="F54" s="184">
        <v>1915200</v>
      </c>
      <c r="G54" s="354" t="s">
        <v>23</v>
      </c>
      <c r="H54" s="82" t="s">
        <v>24</v>
      </c>
      <c r="I54" s="354">
        <v>1399</v>
      </c>
      <c r="J54" s="625" t="s">
        <v>25</v>
      </c>
      <c r="K54" s="288">
        <v>1</v>
      </c>
      <c r="L54" s="632"/>
      <c r="M54" s="632" t="s">
        <v>33</v>
      </c>
      <c r="N54" s="632"/>
      <c r="O54" s="236"/>
      <c r="P54" s="628"/>
    </row>
    <row r="55" spans="1:16" ht="36">
      <c r="A55" s="354">
        <v>49</v>
      </c>
      <c r="B55" s="6" t="s">
        <v>144</v>
      </c>
      <c r="C55" s="6" t="s">
        <v>1471</v>
      </c>
      <c r="D55" s="630" t="s">
        <v>168</v>
      </c>
      <c r="E55" s="630" t="s">
        <v>1019</v>
      </c>
      <c r="F55" s="184">
        <v>77600</v>
      </c>
      <c r="G55" s="354" t="s">
        <v>23</v>
      </c>
      <c r="H55" s="82" t="s">
        <v>24</v>
      </c>
      <c r="I55" s="354">
        <v>1399</v>
      </c>
      <c r="J55" s="625" t="s">
        <v>25</v>
      </c>
      <c r="K55" s="288">
        <v>1</v>
      </c>
      <c r="L55" s="632"/>
      <c r="M55" s="175" t="s">
        <v>33</v>
      </c>
      <c r="N55" s="632"/>
      <c r="O55" s="236"/>
      <c r="P55" s="628"/>
    </row>
    <row r="56" spans="1:16" ht="36">
      <c r="A56" s="354">
        <v>50</v>
      </c>
      <c r="B56" s="6" t="s">
        <v>144</v>
      </c>
      <c r="C56" s="549" t="s">
        <v>1472</v>
      </c>
      <c r="D56" s="630" t="s">
        <v>111</v>
      </c>
      <c r="E56" s="630" t="s">
        <v>1442</v>
      </c>
      <c r="F56" s="184">
        <v>155000</v>
      </c>
      <c r="G56" s="354" t="s">
        <v>23</v>
      </c>
      <c r="H56" s="82" t="s">
        <v>24</v>
      </c>
      <c r="I56" s="354">
        <v>1399</v>
      </c>
      <c r="J56" s="625" t="s">
        <v>25</v>
      </c>
      <c r="K56" s="288">
        <v>1</v>
      </c>
      <c r="L56" s="632"/>
      <c r="M56" s="175" t="s">
        <v>33</v>
      </c>
      <c r="N56" s="632"/>
      <c r="O56" s="236"/>
      <c r="P56" s="628" t="s">
        <v>17</v>
      </c>
    </row>
    <row r="57" spans="1:16" ht="36">
      <c r="A57" s="354">
        <v>51</v>
      </c>
      <c r="B57" s="6" t="s">
        <v>144</v>
      </c>
      <c r="C57" s="6" t="s">
        <v>1011</v>
      </c>
      <c r="D57" s="630" t="s">
        <v>111</v>
      </c>
      <c r="E57" s="630" t="s">
        <v>1194</v>
      </c>
      <c r="F57" s="184">
        <v>320000</v>
      </c>
      <c r="G57" s="354" t="s">
        <v>23</v>
      </c>
      <c r="H57" s="82" t="s">
        <v>24</v>
      </c>
      <c r="I57" s="354">
        <v>1399</v>
      </c>
      <c r="J57" s="625" t="s">
        <v>25</v>
      </c>
      <c r="K57" s="288">
        <v>1</v>
      </c>
      <c r="L57" s="632"/>
      <c r="M57" s="175" t="s">
        <v>33</v>
      </c>
      <c r="N57" s="632"/>
      <c r="O57" s="236"/>
      <c r="P57" s="628"/>
    </row>
    <row r="58" spans="1:16" ht="72">
      <c r="A58" s="354">
        <v>52</v>
      </c>
      <c r="B58" s="6" t="s">
        <v>144</v>
      </c>
      <c r="C58" s="6"/>
      <c r="D58" s="630" t="s">
        <v>130</v>
      </c>
      <c r="E58" s="630" t="s">
        <v>142</v>
      </c>
      <c r="F58" s="184">
        <v>1282840</v>
      </c>
      <c r="G58" s="354" t="s">
        <v>23</v>
      </c>
      <c r="H58" s="82" t="s">
        <v>24</v>
      </c>
      <c r="I58" s="354">
        <v>1399</v>
      </c>
      <c r="J58" s="625" t="s">
        <v>25</v>
      </c>
      <c r="K58" s="288" t="s">
        <v>17</v>
      </c>
      <c r="L58" s="632" t="s">
        <v>72</v>
      </c>
      <c r="M58" s="632"/>
      <c r="N58" s="632" t="s">
        <v>1825</v>
      </c>
      <c r="O58" s="236" t="s">
        <v>1826</v>
      </c>
      <c r="P58" s="628"/>
    </row>
    <row r="59" spans="1:16" ht="72">
      <c r="A59" s="354">
        <v>53</v>
      </c>
      <c r="B59" s="6" t="s">
        <v>144</v>
      </c>
      <c r="C59" s="6"/>
      <c r="D59" s="630" t="s">
        <v>130</v>
      </c>
      <c r="E59" s="630" t="s">
        <v>143</v>
      </c>
      <c r="F59" s="184">
        <v>467750</v>
      </c>
      <c r="G59" s="354" t="s">
        <v>23</v>
      </c>
      <c r="H59" s="82" t="s">
        <v>24</v>
      </c>
      <c r="I59" s="354">
        <v>1399</v>
      </c>
      <c r="J59" s="625" t="s">
        <v>25</v>
      </c>
      <c r="K59" s="288" t="s">
        <v>17</v>
      </c>
      <c r="L59" s="632" t="s">
        <v>72</v>
      </c>
      <c r="M59" s="632"/>
      <c r="N59" s="632" t="s">
        <v>1825</v>
      </c>
      <c r="O59" s="236" t="s">
        <v>1826</v>
      </c>
      <c r="P59" s="628"/>
    </row>
  </sheetData>
  <mergeCells count="23">
    <mergeCell ref="A1:P4"/>
    <mergeCell ref="A5:A6"/>
    <mergeCell ref="B5:B6"/>
    <mergeCell ref="C5:C6"/>
    <mergeCell ref="D5:D6"/>
    <mergeCell ref="E5:E6"/>
    <mergeCell ref="F5:H5"/>
    <mergeCell ref="I5:I6"/>
    <mergeCell ref="J5:J6"/>
    <mergeCell ref="K5:K6"/>
    <mergeCell ref="X30:AI30"/>
    <mergeCell ref="L5:M5"/>
    <mergeCell ref="N5:N6"/>
    <mergeCell ref="O5:O6"/>
    <mergeCell ref="P5:P6"/>
    <mergeCell ref="F48:F53"/>
    <mergeCell ref="O11:O12"/>
    <mergeCell ref="P18:P19"/>
    <mergeCell ref="P21:P23"/>
    <mergeCell ref="P27:P28"/>
    <mergeCell ref="P31:P33"/>
    <mergeCell ref="P34:P35"/>
    <mergeCell ref="P24:P25"/>
  </mergeCells>
  <printOptions horizontalCentered="1"/>
  <pageMargins left="0.2" right="0.2" top="0.5" bottom="0.5" header="0.3" footer="0.3"/>
  <pageSetup paperSize="9" scale="57"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sheetPr>
    <tabColor rgb="FF92D050"/>
  </sheetPr>
  <dimension ref="A1:Q47"/>
  <sheetViews>
    <sheetView rightToLeft="1" view="pageBreakPreview" zoomScale="85" zoomScaleSheetLayoutView="85" workbookViewId="0">
      <pane ySplit="6" topLeftCell="A43" activePane="bottomLeft" state="frozen"/>
      <selection pane="bottomLeft" activeCell="M43" sqref="M43"/>
    </sheetView>
  </sheetViews>
  <sheetFormatPr defaultColWidth="9.140625" defaultRowHeight="15"/>
  <cols>
    <col min="1" max="1" width="7" style="1" customWidth="1"/>
    <col min="2" max="2" width="13.5703125" style="10" customWidth="1"/>
    <col min="3" max="3" width="11.28515625" style="3" customWidth="1"/>
    <col min="4" max="4" width="14.5703125" style="7" customWidth="1"/>
    <col min="5" max="5" width="29.28515625" style="7" customWidth="1"/>
    <col min="6" max="6" width="15.28515625" style="2" customWidth="1"/>
    <col min="7" max="7" width="11.5703125" style="2" customWidth="1"/>
    <col min="8" max="8" width="11.7109375" style="2" customWidth="1"/>
    <col min="9" max="9" width="10" style="1" customWidth="1"/>
    <col min="10" max="10" width="12.85546875" style="9" customWidth="1"/>
    <col min="11" max="11" width="9.28515625" style="14" customWidth="1"/>
    <col min="12" max="12" width="11.85546875" style="1" customWidth="1"/>
    <col min="13" max="13" width="11.85546875" style="9" customWidth="1"/>
    <col min="14" max="14" width="22.28515625" style="9" customWidth="1"/>
    <col min="15" max="15" width="18.28515625" style="9" customWidth="1"/>
    <col min="16" max="16" width="11.5703125" style="145" customWidth="1"/>
    <col min="17" max="16384" width="9.140625" style="145"/>
  </cols>
  <sheetData>
    <row r="1" spans="1:17" ht="18" customHeight="1">
      <c r="A1" s="788" t="s">
        <v>1960</v>
      </c>
      <c r="B1" s="789"/>
      <c r="C1" s="789"/>
      <c r="D1" s="789"/>
      <c r="E1" s="789"/>
      <c r="F1" s="789"/>
      <c r="G1" s="789"/>
      <c r="H1" s="789"/>
      <c r="I1" s="789"/>
      <c r="J1" s="789"/>
      <c r="K1" s="789"/>
      <c r="L1" s="789"/>
      <c r="M1" s="789"/>
      <c r="N1" s="789"/>
      <c r="O1" s="789"/>
      <c r="P1" s="789"/>
    </row>
    <row r="2" spans="1:17" ht="18" customHeight="1">
      <c r="A2" s="789"/>
      <c r="B2" s="789"/>
      <c r="C2" s="789"/>
      <c r="D2" s="789"/>
      <c r="E2" s="789"/>
      <c r="F2" s="789"/>
      <c r="G2" s="789"/>
      <c r="H2" s="789"/>
      <c r="I2" s="789"/>
      <c r="J2" s="789"/>
      <c r="K2" s="789"/>
      <c r="L2" s="789"/>
      <c r="M2" s="789"/>
      <c r="N2" s="789"/>
      <c r="O2" s="789"/>
      <c r="P2" s="789"/>
    </row>
    <row r="3" spans="1:17" ht="18" customHeight="1">
      <c r="A3" s="789"/>
      <c r="B3" s="789"/>
      <c r="C3" s="789"/>
      <c r="D3" s="789"/>
      <c r="E3" s="789"/>
      <c r="F3" s="789"/>
      <c r="G3" s="789"/>
      <c r="H3" s="789"/>
      <c r="I3" s="789"/>
      <c r="J3" s="789"/>
      <c r="K3" s="789"/>
      <c r="L3" s="789"/>
      <c r="M3" s="789"/>
      <c r="N3" s="789"/>
      <c r="O3" s="789"/>
      <c r="P3" s="789"/>
    </row>
    <row r="4" spans="1:17" ht="18" customHeight="1">
      <c r="A4" s="790"/>
      <c r="B4" s="790"/>
      <c r="C4" s="790"/>
      <c r="D4" s="790"/>
      <c r="E4" s="790"/>
      <c r="F4" s="790"/>
      <c r="G4" s="790"/>
      <c r="H4" s="790"/>
      <c r="I4" s="790"/>
      <c r="J4" s="790"/>
      <c r="K4" s="790"/>
      <c r="L4" s="790"/>
      <c r="M4" s="790"/>
      <c r="N4" s="790"/>
      <c r="O4" s="790"/>
      <c r="P4" s="790"/>
    </row>
    <row r="5" spans="1:17" ht="38.25" customHeight="1">
      <c r="A5" s="791" t="s">
        <v>0</v>
      </c>
      <c r="B5" s="791" t="s">
        <v>14</v>
      </c>
      <c r="C5" s="791" t="s">
        <v>19</v>
      </c>
      <c r="D5" s="791" t="s">
        <v>1</v>
      </c>
      <c r="E5" s="791" t="s">
        <v>15</v>
      </c>
      <c r="F5" s="791" t="s">
        <v>9</v>
      </c>
      <c r="G5" s="791"/>
      <c r="H5" s="791"/>
      <c r="I5" s="791" t="s">
        <v>7</v>
      </c>
      <c r="J5" s="791" t="s">
        <v>6</v>
      </c>
      <c r="K5" s="833" t="s">
        <v>16</v>
      </c>
      <c r="L5" s="791" t="s">
        <v>2</v>
      </c>
      <c r="M5" s="791"/>
      <c r="N5" s="791" t="s">
        <v>5</v>
      </c>
      <c r="O5" s="791" t="s">
        <v>13</v>
      </c>
      <c r="P5" s="791" t="s">
        <v>8</v>
      </c>
    </row>
    <row r="6" spans="1:17" ht="38.25" customHeight="1">
      <c r="A6" s="791"/>
      <c r="B6" s="791"/>
      <c r="C6" s="791"/>
      <c r="D6" s="791"/>
      <c r="E6" s="791"/>
      <c r="F6" s="146" t="s">
        <v>10</v>
      </c>
      <c r="G6" s="146" t="s">
        <v>11</v>
      </c>
      <c r="H6" s="146" t="s">
        <v>12</v>
      </c>
      <c r="I6" s="791"/>
      <c r="J6" s="791"/>
      <c r="K6" s="833"/>
      <c r="L6" s="146" t="s">
        <v>3</v>
      </c>
      <c r="M6" s="146" t="s">
        <v>4</v>
      </c>
      <c r="N6" s="791"/>
      <c r="O6" s="791"/>
      <c r="P6" s="791"/>
    </row>
    <row r="7" spans="1:17" s="5" customFormat="1" ht="69" customHeight="1">
      <c r="A7" s="354">
        <v>1</v>
      </c>
      <c r="B7" s="6" t="s">
        <v>75</v>
      </c>
      <c r="C7" s="354"/>
      <c r="D7" s="573" t="s">
        <v>320</v>
      </c>
      <c r="E7" s="293" t="s">
        <v>1601</v>
      </c>
      <c r="F7" s="184">
        <v>2000000</v>
      </c>
      <c r="G7" s="82" t="s">
        <v>23</v>
      </c>
      <c r="H7" s="82" t="s">
        <v>77</v>
      </c>
      <c r="I7" s="82">
        <v>1399</v>
      </c>
      <c r="J7" s="579" t="s">
        <v>25</v>
      </c>
      <c r="K7" s="291"/>
      <c r="L7" s="6" t="s">
        <v>3</v>
      </c>
      <c r="M7" s="6"/>
      <c r="N7" s="6" t="s">
        <v>1640</v>
      </c>
      <c r="O7" s="6" t="s">
        <v>1641</v>
      </c>
      <c r="P7" s="603"/>
      <c r="Q7" s="5">
        <v>1</v>
      </c>
    </row>
    <row r="8" spans="1:17" s="5" customFormat="1" ht="69" customHeight="1">
      <c r="A8" s="354">
        <v>2</v>
      </c>
      <c r="B8" s="6" t="s">
        <v>75</v>
      </c>
      <c r="C8" s="354"/>
      <c r="D8" s="573" t="s">
        <v>320</v>
      </c>
      <c r="E8" s="293" t="s">
        <v>1642</v>
      </c>
      <c r="F8" s="184">
        <v>185000</v>
      </c>
      <c r="G8" s="82" t="s">
        <v>23</v>
      </c>
      <c r="H8" s="82" t="s">
        <v>77</v>
      </c>
      <c r="I8" s="82">
        <v>1399</v>
      </c>
      <c r="J8" s="579" t="s">
        <v>25</v>
      </c>
      <c r="K8" s="291"/>
      <c r="L8" s="6" t="s">
        <v>3</v>
      </c>
      <c r="M8" s="6"/>
      <c r="N8" s="6" t="s">
        <v>1640</v>
      </c>
      <c r="O8" s="6" t="s">
        <v>1641</v>
      </c>
      <c r="P8" s="603"/>
      <c r="Q8" s="5">
        <v>2</v>
      </c>
    </row>
    <row r="9" spans="1:17" s="5" customFormat="1" ht="69" customHeight="1">
      <c r="A9" s="354">
        <v>3</v>
      </c>
      <c r="B9" s="6" t="s">
        <v>75</v>
      </c>
      <c r="C9" s="354"/>
      <c r="D9" s="573" t="s">
        <v>320</v>
      </c>
      <c r="E9" s="293" t="s">
        <v>1643</v>
      </c>
      <c r="F9" s="184">
        <v>30000</v>
      </c>
      <c r="G9" s="82" t="s">
        <v>23</v>
      </c>
      <c r="H9" s="82" t="s">
        <v>77</v>
      </c>
      <c r="I9" s="82">
        <v>1399</v>
      </c>
      <c r="J9" s="579" t="s">
        <v>25</v>
      </c>
      <c r="K9" s="661">
        <v>1</v>
      </c>
      <c r="L9" s="90" t="s">
        <v>17</v>
      </c>
      <c r="M9" s="22" t="s">
        <v>33</v>
      </c>
      <c r="N9" s="6" t="s">
        <v>17</v>
      </c>
      <c r="O9" s="6" t="s">
        <v>17</v>
      </c>
      <c r="P9" s="604"/>
    </row>
    <row r="10" spans="1:17" s="5" customFormat="1" ht="48.75" customHeight="1">
      <c r="A10" s="354">
        <v>4</v>
      </c>
      <c r="B10" s="6" t="s">
        <v>75</v>
      </c>
      <c r="C10" s="354" t="s">
        <v>1644</v>
      </c>
      <c r="D10" s="573" t="s">
        <v>320</v>
      </c>
      <c r="E10" s="576" t="s">
        <v>1645</v>
      </c>
      <c r="F10" s="184">
        <v>330166.66666666669</v>
      </c>
      <c r="G10" s="82" t="s">
        <v>23</v>
      </c>
      <c r="H10" s="82" t="s">
        <v>77</v>
      </c>
      <c r="I10" s="82">
        <v>1399</v>
      </c>
      <c r="J10" s="579" t="s">
        <v>25</v>
      </c>
      <c r="K10" s="661">
        <v>1</v>
      </c>
      <c r="L10" s="480"/>
      <c r="M10" s="22" t="s">
        <v>33</v>
      </c>
      <c r="N10" s="232"/>
      <c r="O10" s="232"/>
      <c r="P10" s="179"/>
    </row>
    <row r="11" spans="1:17" s="26" customFormat="1" ht="62.45" customHeight="1">
      <c r="A11" s="354">
        <v>5</v>
      </c>
      <c r="B11" s="6" t="s">
        <v>75</v>
      </c>
      <c r="C11" s="83"/>
      <c r="D11" s="57" t="s">
        <v>701</v>
      </c>
      <c r="E11" s="152" t="s">
        <v>22</v>
      </c>
      <c r="F11" s="184">
        <v>640000</v>
      </c>
      <c r="G11" s="82" t="s">
        <v>23</v>
      </c>
      <c r="H11" s="82" t="s">
        <v>77</v>
      </c>
      <c r="I11" s="82">
        <v>1399</v>
      </c>
      <c r="J11" s="65" t="s">
        <v>25</v>
      </c>
      <c r="K11" s="661">
        <v>1</v>
      </c>
      <c r="L11" s="82"/>
      <c r="M11" s="22" t="s">
        <v>33</v>
      </c>
      <c r="N11" s="65"/>
      <c r="O11" s="152"/>
      <c r="P11" s="58"/>
    </row>
    <row r="12" spans="1:17" s="26" customFormat="1" ht="77.45" customHeight="1">
      <c r="A12" s="354">
        <v>6</v>
      </c>
      <c r="B12" s="6" t="s">
        <v>75</v>
      </c>
      <c r="C12" s="83"/>
      <c r="D12" s="57" t="s">
        <v>701</v>
      </c>
      <c r="E12" s="152" t="s">
        <v>448</v>
      </c>
      <c r="F12" s="184">
        <v>37000</v>
      </c>
      <c r="G12" s="82" t="s">
        <v>23</v>
      </c>
      <c r="H12" s="82" t="s">
        <v>77</v>
      </c>
      <c r="I12" s="82">
        <v>1399</v>
      </c>
      <c r="J12" s="65" t="s">
        <v>25</v>
      </c>
      <c r="K12" s="661">
        <v>1</v>
      </c>
      <c r="L12" s="82"/>
      <c r="M12" s="22" t="s">
        <v>33</v>
      </c>
      <c r="N12" s="65"/>
      <c r="O12" s="152"/>
      <c r="P12" s="58"/>
    </row>
    <row r="13" spans="1:17" s="26" customFormat="1" ht="57" customHeight="1">
      <c r="A13" s="354">
        <v>7</v>
      </c>
      <c r="B13" s="6" t="s">
        <v>75</v>
      </c>
      <c r="C13" s="83"/>
      <c r="D13" s="57" t="s">
        <v>28</v>
      </c>
      <c r="E13" s="164" t="s">
        <v>517</v>
      </c>
      <c r="F13" s="184">
        <v>7560000</v>
      </c>
      <c r="G13" s="82" t="s">
        <v>23</v>
      </c>
      <c r="H13" s="82" t="s">
        <v>77</v>
      </c>
      <c r="I13" s="82">
        <v>1399</v>
      </c>
      <c r="J13" s="65" t="s">
        <v>25</v>
      </c>
      <c r="K13" s="661">
        <v>1</v>
      </c>
      <c r="L13" s="152"/>
      <c r="M13" s="22" t="s">
        <v>33</v>
      </c>
      <c r="N13" s="65"/>
      <c r="O13" s="152"/>
      <c r="P13" s="251" t="s">
        <v>17</v>
      </c>
    </row>
    <row r="14" spans="1:17" s="26" customFormat="1" ht="112.5" customHeight="1">
      <c r="A14" s="354">
        <v>8</v>
      </c>
      <c r="B14" s="6" t="s">
        <v>75</v>
      </c>
      <c r="C14" s="83"/>
      <c r="D14" s="57" t="s">
        <v>28</v>
      </c>
      <c r="E14" s="152" t="s">
        <v>700</v>
      </c>
      <c r="F14" s="184">
        <v>135000</v>
      </c>
      <c r="G14" s="82" t="s">
        <v>23</v>
      </c>
      <c r="H14" s="82" t="s">
        <v>77</v>
      </c>
      <c r="I14" s="82">
        <v>1399</v>
      </c>
      <c r="J14" s="65" t="s">
        <v>25</v>
      </c>
      <c r="K14" s="661">
        <v>1</v>
      </c>
      <c r="L14" s="230"/>
      <c r="M14" s="22" t="s">
        <v>33</v>
      </c>
      <c r="N14" s="229"/>
      <c r="O14" s="57"/>
      <c r="P14" s="57"/>
    </row>
    <row r="15" spans="1:17" s="26" customFormat="1" ht="117" customHeight="1">
      <c r="A15" s="354">
        <v>9</v>
      </c>
      <c r="B15" s="6" t="s">
        <v>75</v>
      </c>
      <c r="C15" s="83"/>
      <c r="D15" s="57" t="s">
        <v>28</v>
      </c>
      <c r="E15" s="164" t="s">
        <v>699</v>
      </c>
      <c r="F15" s="184">
        <v>69400</v>
      </c>
      <c r="G15" s="82" t="s">
        <v>23</v>
      </c>
      <c r="H15" s="82" t="s">
        <v>77</v>
      </c>
      <c r="I15" s="82">
        <v>1399</v>
      </c>
      <c r="J15" s="65" t="s">
        <v>25</v>
      </c>
      <c r="K15" s="661">
        <v>1</v>
      </c>
      <c r="L15" s="230"/>
      <c r="M15" s="22" t="s">
        <v>33</v>
      </c>
      <c r="N15" s="229"/>
      <c r="O15" s="57"/>
      <c r="P15" s="57"/>
    </row>
    <row r="16" spans="1:17" s="26" customFormat="1" ht="61.15" customHeight="1">
      <c r="A16" s="354">
        <v>10</v>
      </c>
      <c r="B16" s="6" t="s">
        <v>75</v>
      </c>
      <c r="C16" s="83"/>
      <c r="D16" s="57" t="s">
        <v>31</v>
      </c>
      <c r="E16" s="152" t="s">
        <v>80</v>
      </c>
      <c r="F16" s="184">
        <v>264000</v>
      </c>
      <c r="G16" s="82" t="s">
        <v>23</v>
      </c>
      <c r="H16" s="82" t="s">
        <v>77</v>
      </c>
      <c r="I16" s="82">
        <v>1399</v>
      </c>
      <c r="J16" s="65" t="s">
        <v>25</v>
      </c>
      <c r="K16" s="661">
        <v>1</v>
      </c>
      <c r="L16" s="230"/>
      <c r="M16" s="22" t="s">
        <v>33</v>
      </c>
      <c r="N16" s="229"/>
      <c r="O16" s="152"/>
      <c r="P16" s="58"/>
    </row>
    <row r="17" spans="1:16" s="26" customFormat="1" ht="61.15" customHeight="1">
      <c r="A17" s="354">
        <v>11</v>
      </c>
      <c r="B17" s="6" t="s">
        <v>75</v>
      </c>
      <c r="C17" s="83"/>
      <c r="D17" s="57" t="s">
        <v>31</v>
      </c>
      <c r="E17" s="152" t="s">
        <v>34</v>
      </c>
      <c r="F17" s="184">
        <v>237677</v>
      </c>
      <c r="G17" s="82" t="s">
        <v>23</v>
      </c>
      <c r="H17" s="82" t="s">
        <v>77</v>
      </c>
      <c r="I17" s="82">
        <v>1399</v>
      </c>
      <c r="J17" s="65" t="s">
        <v>25</v>
      </c>
      <c r="K17" s="661">
        <v>1</v>
      </c>
      <c r="L17" s="230"/>
      <c r="M17" s="22" t="s">
        <v>33</v>
      </c>
      <c r="N17" s="229"/>
      <c r="O17" s="152"/>
      <c r="P17" s="58"/>
    </row>
    <row r="18" spans="1:16" s="26" customFormat="1" ht="54">
      <c r="A18" s="354">
        <v>12</v>
      </c>
      <c r="B18" s="6" t="s">
        <v>75</v>
      </c>
      <c r="C18" s="83" t="s">
        <v>184</v>
      </c>
      <c r="D18" s="57" t="s">
        <v>31</v>
      </c>
      <c r="E18" s="164" t="s">
        <v>698</v>
      </c>
      <c r="F18" s="195">
        <v>4000000</v>
      </c>
      <c r="G18" s="83" t="s">
        <v>23</v>
      </c>
      <c r="H18" s="83" t="s">
        <v>77</v>
      </c>
      <c r="I18" s="83">
        <v>1399</v>
      </c>
      <c r="J18" s="6" t="s">
        <v>25</v>
      </c>
      <c r="K18" s="661">
        <v>1</v>
      </c>
      <c r="L18" s="208"/>
      <c r="M18" s="22" t="s">
        <v>33</v>
      </c>
      <c r="N18" s="229"/>
      <c r="O18" s="152"/>
      <c r="P18" s="58"/>
    </row>
    <row r="19" spans="1:16" s="26" customFormat="1" ht="69.75" customHeight="1">
      <c r="A19" s="354">
        <v>13</v>
      </c>
      <c r="B19" s="6" t="s">
        <v>75</v>
      </c>
      <c r="C19" s="83"/>
      <c r="D19" s="57" t="s">
        <v>31</v>
      </c>
      <c r="E19" s="152" t="s">
        <v>32</v>
      </c>
      <c r="F19" s="184">
        <v>169680</v>
      </c>
      <c r="G19" s="82" t="s">
        <v>23</v>
      </c>
      <c r="H19" s="82" t="s">
        <v>77</v>
      </c>
      <c r="I19" s="82">
        <v>1399</v>
      </c>
      <c r="J19" s="65" t="s">
        <v>25</v>
      </c>
      <c r="K19" s="661">
        <v>1</v>
      </c>
      <c r="L19" s="230"/>
      <c r="M19" s="22" t="s">
        <v>33</v>
      </c>
      <c r="N19" s="229"/>
      <c r="O19" s="152"/>
      <c r="P19" s="58"/>
    </row>
    <row r="20" spans="1:16" s="26" customFormat="1" ht="72">
      <c r="A20" s="354">
        <v>14</v>
      </c>
      <c r="B20" s="6" t="s">
        <v>75</v>
      </c>
      <c r="C20" s="83"/>
      <c r="D20" s="57" t="s">
        <v>31</v>
      </c>
      <c r="E20" s="152" t="s">
        <v>483</v>
      </c>
      <c r="F20" s="184">
        <v>312000</v>
      </c>
      <c r="G20" s="82" t="s">
        <v>23</v>
      </c>
      <c r="H20" s="82" t="s">
        <v>77</v>
      </c>
      <c r="I20" s="82">
        <v>1399</v>
      </c>
      <c r="J20" s="65" t="s">
        <v>25</v>
      </c>
      <c r="K20" s="661">
        <v>1</v>
      </c>
      <c r="L20" s="230"/>
      <c r="M20" s="22" t="s">
        <v>33</v>
      </c>
      <c r="N20" s="229"/>
      <c r="O20" s="152"/>
      <c r="P20" s="58"/>
    </row>
    <row r="21" spans="1:16" s="34" customFormat="1" ht="49.15" customHeight="1">
      <c r="A21" s="354">
        <v>15</v>
      </c>
      <c r="B21" s="6" t="s">
        <v>75</v>
      </c>
      <c r="C21" s="83"/>
      <c r="D21" s="57" t="s">
        <v>40</v>
      </c>
      <c r="E21" s="164" t="s">
        <v>343</v>
      </c>
      <c r="F21" s="184">
        <f>2*1413600</f>
        <v>2827200</v>
      </c>
      <c r="G21" s="82" t="s">
        <v>23</v>
      </c>
      <c r="H21" s="82" t="s">
        <v>41</v>
      </c>
      <c r="I21" s="82">
        <v>1399</v>
      </c>
      <c r="J21" s="65" t="s">
        <v>25</v>
      </c>
      <c r="K21" s="661">
        <v>1</v>
      </c>
      <c r="L21" s="230"/>
      <c r="M21" s="22" t="s">
        <v>33</v>
      </c>
      <c r="N21" s="229"/>
      <c r="O21" s="192"/>
      <c r="P21" s="842"/>
    </row>
    <row r="22" spans="1:16" s="34" customFormat="1" ht="49.15" customHeight="1">
      <c r="A22" s="354">
        <v>16</v>
      </c>
      <c r="B22" s="6" t="s">
        <v>75</v>
      </c>
      <c r="C22" s="83"/>
      <c r="D22" s="57" t="s">
        <v>40</v>
      </c>
      <c r="E22" s="164" t="s">
        <v>203</v>
      </c>
      <c r="F22" s="184">
        <f>50* 58032</f>
        <v>2901600</v>
      </c>
      <c r="G22" s="82" t="s">
        <v>23</v>
      </c>
      <c r="H22" s="82" t="s">
        <v>41</v>
      </c>
      <c r="I22" s="82">
        <v>1399</v>
      </c>
      <c r="J22" s="65" t="s">
        <v>25</v>
      </c>
      <c r="K22" s="661">
        <v>1</v>
      </c>
      <c r="L22" s="230"/>
      <c r="M22" s="22" t="s">
        <v>33</v>
      </c>
      <c r="N22" s="229"/>
      <c r="O22" s="152"/>
      <c r="P22" s="842"/>
    </row>
    <row r="23" spans="1:16" s="34" customFormat="1" ht="48" customHeight="1">
      <c r="A23" s="354">
        <v>17</v>
      </c>
      <c r="B23" s="6" t="s">
        <v>75</v>
      </c>
      <c r="C23" s="83"/>
      <c r="D23" s="57" t="s">
        <v>40</v>
      </c>
      <c r="E23" s="164" t="s">
        <v>697</v>
      </c>
      <c r="F23" s="292" t="s">
        <v>17</v>
      </c>
      <c r="G23" s="82" t="s">
        <v>17</v>
      </c>
      <c r="H23" s="82" t="s">
        <v>17</v>
      </c>
      <c r="I23" s="82">
        <v>1399</v>
      </c>
      <c r="J23" s="65" t="s">
        <v>25</v>
      </c>
      <c r="K23" s="661">
        <v>1</v>
      </c>
      <c r="L23" s="230"/>
      <c r="M23" s="22" t="s">
        <v>33</v>
      </c>
      <c r="N23" s="229"/>
      <c r="O23" s="193"/>
      <c r="P23" s="57" t="s">
        <v>324</v>
      </c>
    </row>
    <row r="24" spans="1:16" s="34" customFormat="1" ht="58.15" customHeight="1">
      <c r="A24" s="354">
        <v>18</v>
      </c>
      <c r="B24" s="6" t="s">
        <v>75</v>
      </c>
      <c r="C24" s="83"/>
      <c r="D24" s="57" t="s">
        <v>40</v>
      </c>
      <c r="E24" s="164" t="s">
        <v>480</v>
      </c>
      <c r="F24" s="184">
        <f>10* 848904</f>
        <v>8489040</v>
      </c>
      <c r="G24" s="82" t="s">
        <v>23</v>
      </c>
      <c r="H24" s="82" t="s">
        <v>41</v>
      </c>
      <c r="I24" s="82">
        <v>1399</v>
      </c>
      <c r="J24" s="65" t="s">
        <v>25</v>
      </c>
      <c r="K24" s="661">
        <v>1</v>
      </c>
      <c r="L24" s="230"/>
      <c r="M24" s="22" t="s">
        <v>33</v>
      </c>
      <c r="N24" s="229"/>
      <c r="O24" s="250"/>
      <c r="P24" s="57"/>
    </row>
    <row r="25" spans="1:16" s="34" customFormat="1" ht="54.6" customHeight="1">
      <c r="A25" s="354">
        <v>19</v>
      </c>
      <c r="B25" s="6" t="s">
        <v>75</v>
      </c>
      <c r="C25" s="83"/>
      <c r="D25" s="57" t="s">
        <v>40</v>
      </c>
      <c r="E25" s="164" t="s">
        <v>696</v>
      </c>
      <c r="F25" s="184">
        <f>675*148</f>
        <v>99900</v>
      </c>
      <c r="G25" s="82" t="s">
        <v>23</v>
      </c>
      <c r="H25" s="82" t="s">
        <v>41</v>
      </c>
      <c r="I25" s="82">
        <v>1399</v>
      </c>
      <c r="J25" s="65" t="s">
        <v>25</v>
      </c>
      <c r="K25" s="661">
        <v>1</v>
      </c>
      <c r="L25" s="230"/>
      <c r="M25" s="22" t="s">
        <v>33</v>
      </c>
      <c r="N25" s="229"/>
      <c r="O25" s="250"/>
      <c r="P25" s="58"/>
    </row>
    <row r="26" spans="1:16" s="34" customFormat="1" ht="76.900000000000006" customHeight="1">
      <c r="A26" s="354">
        <v>20</v>
      </c>
      <c r="B26" s="6" t="s">
        <v>75</v>
      </c>
      <c r="C26" s="83"/>
      <c r="D26" s="57" t="s">
        <v>40</v>
      </c>
      <c r="E26" s="164" t="s">
        <v>166</v>
      </c>
      <c r="F26" s="184">
        <f>3*375000</f>
        <v>1125000</v>
      </c>
      <c r="G26" s="82" t="s">
        <v>23</v>
      </c>
      <c r="H26" s="82" t="s">
        <v>41</v>
      </c>
      <c r="I26" s="82">
        <v>1399</v>
      </c>
      <c r="J26" s="65" t="s">
        <v>25</v>
      </c>
      <c r="K26" s="661">
        <v>1</v>
      </c>
      <c r="L26" s="218" t="s">
        <v>947</v>
      </c>
      <c r="M26" s="22" t="s">
        <v>33</v>
      </c>
      <c r="N26" s="452" t="s">
        <v>325</v>
      </c>
      <c r="O26" s="22" t="s">
        <v>984</v>
      </c>
      <c r="P26" s="58"/>
    </row>
    <row r="27" spans="1:16" s="34" customFormat="1" ht="42" customHeight="1">
      <c r="A27" s="354">
        <v>21</v>
      </c>
      <c r="B27" s="6" t="s">
        <v>75</v>
      </c>
      <c r="C27" s="83"/>
      <c r="D27" s="57" t="s">
        <v>40</v>
      </c>
      <c r="E27" s="164" t="s">
        <v>695</v>
      </c>
      <c r="F27" s="184">
        <f>25*22320</f>
        <v>558000</v>
      </c>
      <c r="G27" s="82" t="s">
        <v>23</v>
      </c>
      <c r="H27" s="82" t="s">
        <v>41</v>
      </c>
      <c r="I27" s="82">
        <v>1399</v>
      </c>
      <c r="J27" s="65" t="s">
        <v>25</v>
      </c>
      <c r="K27" s="661">
        <v>1</v>
      </c>
      <c r="L27" s="230"/>
      <c r="M27" s="22" t="s">
        <v>33</v>
      </c>
      <c r="N27" s="229"/>
      <c r="O27" s="152"/>
      <c r="P27" s="58"/>
    </row>
    <row r="28" spans="1:16" s="34" customFormat="1" ht="51.6" customHeight="1">
      <c r="A28" s="354">
        <v>22</v>
      </c>
      <c r="B28" s="6" t="s">
        <v>75</v>
      </c>
      <c r="C28" s="83"/>
      <c r="D28" s="57" t="s">
        <v>40</v>
      </c>
      <c r="E28" s="164" t="s">
        <v>694</v>
      </c>
      <c r="F28" s="184">
        <f>200* 2804</f>
        <v>560800</v>
      </c>
      <c r="G28" s="82" t="s">
        <v>23</v>
      </c>
      <c r="H28" s="82" t="s">
        <v>41</v>
      </c>
      <c r="I28" s="82">
        <v>1399</v>
      </c>
      <c r="J28" s="65" t="s">
        <v>25</v>
      </c>
      <c r="K28" s="661">
        <v>1</v>
      </c>
      <c r="L28" s="230"/>
      <c r="M28" s="22" t="s">
        <v>33</v>
      </c>
      <c r="N28" s="229"/>
      <c r="O28" s="152"/>
      <c r="P28" s="842"/>
    </row>
    <row r="29" spans="1:16" s="34" customFormat="1" ht="42" customHeight="1">
      <c r="A29" s="354">
        <v>23</v>
      </c>
      <c r="B29" s="6" t="s">
        <v>75</v>
      </c>
      <c r="C29" s="83"/>
      <c r="D29" s="445" t="s">
        <v>40</v>
      </c>
      <c r="E29" s="164" t="s">
        <v>966</v>
      </c>
      <c r="F29" s="184">
        <f>250*2617</f>
        <v>654250</v>
      </c>
      <c r="G29" s="82" t="s">
        <v>23</v>
      </c>
      <c r="H29" s="82" t="s">
        <v>41</v>
      </c>
      <c r="I29" s="82">
        <v>1399</v>
      </c>
      <c r="J29" s="452" t="s">
        <v>25</v>
      </c>
      <c r="K29" s="661">
        <v>1</v>
      </c>
      <c r="L29" s="230"/>
      <c r="M29" s="22" t="s">
        <v>33</v>
      </c>
      <c r="N29" s="229"/>
      <c r="O29" s="152"/>
      <c r="P29" s="842"/>
    </row>
    <row r="30" spans="1:16" s="34" customFormat="1" ht="42" customHeight="1">
      <c r="A30" s="354">
        <v>24</v>
      </c>
      <c r="B30" s="6" t="s">
        <v>75</v>
      </c>
      <c r="C30" s="83"/>
      <c r="D30" s="57" t="s">
        <v>40</v>
      </c>
      <c r="E30" s="164" t="s">
        <v>48</v>
      </c>
      <c r="F30" s="184">
        <f>2*42514</f>
        <v>85028</v>
      </c>
      <c r="G30" s="82" t="s">
        <v>23</v>
      </c>
      <c r="H30" s="82" t="s">
        <v>41</v>
      </c>
      <c r="I30" s="82">
        <v>1399</v>
      </c>
      <c r="J30" s="65" t="s">
        <v>25</v>
      </c>
      <c r="K30" s="661">
        <v>1</v>
      </c>
      <c r="L30" s="230"/>
      <c r="M30" s="22" t="s">
        <v>33</v>
      </c>
      <c r="N30" s="229"/>
      <c r="O30" s="152"/>
      <c r="P30" s="842"/>
    </row>
    <row r="31" spans="1:16" s="34" customFormat="1" ht="63" customHeight="1">
      <c r="A31" s="354">
        <v>25</v>
      </c>
      <c r="B31" s="6" t="s">
        <v>75</v>
      </c>
      <c r="C31" s="83"/>
      <c r="D31" s="57" t="s">
        <v>40</v>
      </c>
      <c r="E31" s="152" t="s">
        <v>49</v>
      </c>
      <c r="F31" s="184">
        <f>150*1041</f>
        <v>156150</v>
      </c>
      <c r="G31" s="82" t="s">
        <v>23</v>
      </c>
      <c r="H31" s="82" t="s">
        <v>41</v>
      </c>
      <c r="I31" s="82">
        <v>1399</v>
      </c>
      <c r="J31" s="65" t="s">
        <v>25</v>
      </c>
      <c r="K31" s="661">
        <v>1</v>
      </c>
      <c r="L31" s="218" t="s">
        <v>947</v>
      </c>
      <c r="M31" s="22" t="s">
        <v>33</v>
      </c>
      <c r="N31" s="454" t="s">
        <v>325</v>
      </c>
      <c r="O31" s="22" t="s">
        <v>984</v>
      </c>
      <c r="P31" s="842"/>
    </row>
    <row r="32" spans="1:16" s="34" customFormat="1" ht="61.9" customHeight="1">
      <c r="A32" s="354">
        <v>26</v>
      </c>
      <c r="B32" s="6" t="s">
        <v>75</v>
      </c>
      <c r="C32" s="83"/>
      <c r="D32" s="57" t="s">
        <v>40</v>
      </c>
      <c r="E32" s="152" t="s">
        <v>167</v>
      </c>
      <c r="F32" s="184">
        <f>200* 729</f>
        <v>145800</v>
      </c>
      <c r="G32" s="82" t="s">
        <v>23</v>
      </c>
      <c r="H32" s="82" t="s">
        <v>41</v>
      </c>
      <c r="I32" s="82">
        <v>1399</v>
      </c>
      <c r="J32" s="65" t="s">
        <v>25</v>
      </c>
      <c r="K32" s="661">
        <v>1</v>
      </c>
      <c r="L32" s="218" t="s">
        <v>947</v>
      </c>
      <c r="M32" s="22" t="s">
        <v>33</v>
      </c>
      <c r="N32" s="454" t="s">
        <v>325</v>
      </c>
      <c r="O32" s="22" t="s">
        <v>984</v>
      </c>
      <c r="P32" s="842"/>
    </row>
    <row r="33" spans="1:16" s="34" customFormat="1" ht="67.150000000000006" customHeight="1">
      <c r="A33" s="354">
        <v>27</v>
      </c>
      <c r="B33" s="6" t="s">
        <v>75</v>
      </c>
      <c r="C33" s="83"/>
      <c r="D33" s="57" t="s">
        <v>40</v>
      </c>
      <c r="E33" s="152" t="s">
        <v>693</v>
      </c>
      <c r="F33" s="184">
        <f>200*911</f>
        <v>182200</v>
      </c>
      <c r="G33" s="82" t="s">
        <v>23</v>
      </c>
      <c r="H33" s="82" t="s">
        <v>41</v>
      </c>
      <c r="I33" s="82">
        <v>1399</v>
      </c>
      <c r="J33" s="65" t="s">
        <v>25</v>
      </c>
      <c r="K33" s="661">
        <v>1</v>
      </c>
      <c r="L33" s="218" t="s">
        <v>947</v>
      </c>
      <c r="M33" s="22" t="s">
        <v>33</v>
      </c>
      <c r="N33" s="454" t="s">
        <v>325</v>
      </c>
      <c r="O33" s="22" t="s">
        <v>984</v>
      </c>
      <c r="P33" s="842"/>
    </row>
    <row r="34" spans="1:16" s="34" customFormat="1" ht="42" customHeight="1">
      <c r="A34" s="354">
        <v>28</v>
      </c>
      <c r="B34" s="6" t="s">
        <v>75</v>
      </c>
      <c r="C34" s="83"/>
      <c r="D34" s="57" t="s">
        <v>40</v>
      </c>
      <c r="E34" s="164" t="s">
        <v>243</v>
      </c>
      <c r="F34" s="184">
        <f>600* 315</f>
        <v>189000</v>
      </c>
      <c r="G34" s="82" t="s">
        <v>23</v>
      </c>
      <c r="H34" s="82" t="s">
        <v>41</v>
      </c>
      <c r="I34" s="82">
        <v>1399</v>
      </c>
      <c r="J34" s="65" t="s">
        <v>25</v>
      </c>
      <c r="K34" s="661">
        <v>1</v>
      </c>
      <c r="L34" s="230"/>
      <c r="M34" s="22" t="s">
        <v>33</v>
      </c>
      <c r="N34" s="229"/>
      <c r="O34" s="152"/>
      <c r="P34" s="842"/>
    </row>
    <row r="35" spans="1:16" s="34" customFormat="1" ht="81.599999999999994" customHeight="1">
      <c r="A35" s="354">
        <v>29</v>
      </c>
      <c r="B35" s="6" t="s">
        <v>75</v>
      </c>
      <c r="C35" s="83"/>
      <c r="D35" s="57" t="s">
        <v>40</v>
      </c>
      <c r="E35" s="164" t="s">
        <v>94</v>
      </c>
      <c r="F35" s="184">
        <f>2* 45570</f>
        <v>91140</v>
      </c>
      <c r="G35" s="82" t="s">
        <v>23</v>
      </c>
      <c r="H35" s="82" t="s">
        <v>41</v>
      </c>
      <c r="I35" s="82">
        <v>1399</v>
      </c>
      <c r="J35" s="65" t="s">
        <v>25</v>
      </c>
      <c r="K35" s="661">
        <v>1</v>
      </c>
      <c r="L35" s="218" t="s">
        <v>947</v>
      </c>
      <c r="M35" s="22" t="s">
        <v>33</v>
      </c>
      <c r="N35" s="454" t="s">
        <v>325</v>
      </c>
      <c r="O35" s="22" t="s">
        <v>984</v>
      </c>
      <c r="P35" s="58"/>
    </row>
    <row r="36" spans="1:16" s="34" customFormat="1" ht="84.6" customHeight="1">
      <c r="A36" s="354">
        <v>30</v>
      </c>
      <c r="B36" s="6" t="s">
        <v>75</v>
      </c>
      <c r="C36" s="83"/>
      <c r="D36" s="57" t="s">
        <v>40</v>
      </c>
      <c r="E36" s="164" t="s">
        <v>95</v>
      </c>
      <c r="F36" s="184">
        <f>10* 10416</f>
        <v>104160</v>
      </c>
      <c r="G36" s="82" t="s">
        <v>23</v>
      </c>
      <c r="H36" s="82" t="s">
        <v>41</v>
      </c>
      <c r="I36" s="82">
        <v>1399</v>
      </c>
      <c r="J36" s="65" t="s">
        <v>25</v>
      </c>
      <c r="K36" s="661">
        <v>1</v>
      </c>
      <c r="L36" s="218" t="s">
        <v>947</v>
      </c>
      <c r="M36" s="22" t="s">
        <v>33</v>
      </c>
      <c r="N36" s="452" t="s">
        <v>325</v>
      </c>
      <c r="O36" s="22" t="s">
        <v>984</v>
      </c>
      <c r="P36" s="842"/>
    </row>
    <row r="37" spans="1:16" s="34" customFormat="1" ht="81" customHeight="1">
      <c r="A37" s="354">
        <v>31</v>
      </c>
      <c r="B37" s="6" t="s">
        <v>75</v>
      </c>
      <c r="C37" s="83"/>
      <c r="D37" s="57" t="s">
        <v>40</v>
      </c>
      <c r="E37" s="164" t="s">
        <v>104</v>
      </c>
      <c r="F37" s="184">
        <f>10* 36456</f>
        <v>364560</v>
      </c>
      <c r="G37" s="82" t="s">
        <v>23</v>
      </c>
      <c r="H37" s="82" t="s">
        <v>41</v>
      </c>
      <c r="I37" s="82">
        <v>1399</v>
      </c>
      <c r="J37" s="65" t="s">
        <v>25</v>
      </c>
      <c r="K37" s="661">
        <v>1</v>
      </c>
      <c r="L37" s="218" t="s">
        <v>947</v>
      </c>
      <c r="M37" s="22" t="s">
        <v>33</v>
      </c>
      <c r="N37" s="648" t="s">
        <v>325</v>
      </c>
      <c r="O37" s="22" t="s">
        <v>984</v>
      </c>
      <c r="P37" s="842"/>
    </row>
    <row r="38" spans="1:16" s="34" customFormat="1" ht="89.45" customHeight="1">
      <c r="A38" s="354">
        <v>32</v>
      </c>
      <c r="B38" s="6" t="s">
        <v>75</v>
      </c>
      <c r="C38" s="83"/>
      <c r="D38" s="57" t="s">
        <v>40</v>
      </c>
      <c r="E38" s="164" t="s">
        <v>126</v>
      </c>
      <c r="F38" s="184">
        <v>396797</v>
      </c>
      <c r="G38" s="82" t="s">
        <v>23</v>
      </c>
      <c r="H38" s="82" t="s">
        <v>41</v>
      </c>
      <c r="I38" s="82">
        <v>1399</v>
      </c>
      <c r="J38" s="65" t="s">
        <v>25</v>
      </c>
      <c r="K38" s="661">
        <v>1</v>
      </c>
      <c r="L38" s="218" t="s">
        <v>947</v>
      </c>
      <c r="M38" s="22" t="s">
        <v>33</v>
      </c>
      <c r="N38" s="452" t="s">
        <v>325</v>
      </c>
      <c r="O38" s="22" t="s">
        <v>984</v>
      </c>
      <c r="P38" s="58"/>
    </row>
    <row r="39" spans="1:16" s="34" customFormat="1" ht="88.15" customHeight="1">
      <c r="A39" s="354">
        <v>33</v>
      </c>
      <c r="B39" s="6" t="s">
        <v>75</v>
      </c>
      <c r="C39" s="83"/>
      <c r="D39" s="57" t="s">
        <v>40</v>
      </c>
      <c r="E39" s="164" t="s">
        <v>609</v>
      </c>
      <c r="F39" s="184">
        <f>(10010000/1000000)*20000</f>
        <v>200200</v>
      </c>
      <c r="G39" s="82" t="s">
        <v>23</v>
      </c>
      <c r="H39" s="82" t="s">
        <v>41</v>
      </c>
      <c r="I39" s="82">
        <v>1399</v>
      </c>
      <c r="J39" s="65" t="s">
        <v>25</v>
      </c>
      <c r="K39" s="661">
        <v>1</v>
      </c>
      <c r="L39" s="218" t="s">
        <v>947</v>
      </c>
      <c r="M39" s="22" t="s">
        <v>33</v>
      </c>
      <c r="N39" s="452" t="s">
        <v>325</v>
      </c>
      <c r="O39" s="22" t="s">
        <v>984</v>
      </c>
      <c r="P39" s="842"/>
    </row>
    <row r="40" spans="1:16" s="34" customFormat="1" ht="85.5" customHeight="1">
      <c r="A40" s="354">
        <v>34</v>
      </c>
      <c r="B40" s="6" t="s">
        <v>75</v>
      </c>
      <c r="C40" s="83"/>
      <c r="D40" s="57" t="s">
        <v>40</v>
      </c>
      <c r="E40" s="164" t="s">
        <v>53</v>
      </c>
      <c r="F40" s="184">
        <f>2*2695000</f>
        <v>5390000</v>
      </c>
      <c r="G40" s="82" t="s">
        <v>23</v>
      </c>
      <c r="H40" s="82" t="s">
        <v>41</v>
      </c>
      <c r="I40" s="82">
        <v>1399</v>
      </c>
      <c r="J40" s="65" t="s">
        <v>25</v>
      </c>
      <c r="K40" s="661">
        <v>1</v>
      </c>
      <c r="L40" s="218" t="s">
        <v>947</v>
      </c>
      <c r="M40" s="22" t="s">
        <v>33</v>
      </c>
      <c r="N40" s="452" t="s">
        <v>325</v>
      </c>
      <c r="O40" s="22" t="s">
        <v>984</v>
      </c>
      <c r="P40" s="842"/>
    </row>
    <row r="41" spans="1:16" s="34" customFormat="1" ht="127.15" customHeight="1">
      <c r="A41" s="354">
        <v>35</v>
      </c>
      <c r="B41" s="6" t="s">
        <v>75</v>
      </c>
      <c r="C41" s="83" t="s">
        <v>692</v>
      </c>
      <c r="D41" s="57" t="s">
        <v>55</v>
      </c>
      <c r="E41" s="152" t="s">
        <v>691</v>
      </c>
      <c r="F41" s="184">
        <v>104900</v>
      </c>
      <c r="G41" s="82" t="s">
        <v>23</v>
      </c>
      <c r="H41" s="82" t="s">
        <v>77</v>
      </c>
      <c r="I41" s="82">
        <v>1399</v>
      </c>
      <c r="J41" s="65" t="s">
        <v>25</v>
      </c>
      <c r="K41" s="661">
        <v>1</v>
      </c>
      <c r="L41" s="230"/>
      <c r="M41" s="22" t="s">
        <v>33</v>
      </c>
      <c r="N41" s="229"/>
      <c r="O41" s="152"/>
      <c r="P41" s="58"/>
    </row>
    <row r="42" spans="1:16" ht="108">
      <c r="A42" s="354">
        <v>36</v>
      </c>
      <c r="B42" s="6" t="s">
        <v>75</v>
      </c>
      <c r="C42" s="83"/>
      <c r="D42" s="152" t="s">
        <v>76</v>
      </c>
      <c r="E42" s="152" t="s">
        <v>690</v>
      </c>
      <c r="F42" s="185">
        <v>102276677</v>
      </c>
      <c r="G42" s="82" t="s">
        <v>23</v>
      </c>
      <c r="H42" s="65" t="s">
        <v>77</v>
      </c>
      <c r="I42" s="82">
        <v>1399</v>
      </c>
      <c r="J42" s="65" t="s">
        <v>25</v>
      </c>
      <c r="K42" s="661">
        <v>1</v>
      </c>
      <c r="L42" s="64"/>
      <c r="M42" s="22" t="s">
        <v>33</v>
      </c>
      <c r="N42" s="64"/>
      <c r="O42" s="64"/>
      <c r="P42" s="64"/>
    </row>
    <row r="43" spans="1:16" s="34" customFormat="1" ht="96.6" customHeight="1">
      <c r="A43" s="354">
        <v>37</v>
      </c>
      <c r="B43" s="6" t="s">
        <v>75</v>
      </c>
      <c r="C43" s="354" t="s">
        <v>1009</v>
      </c>
      <c r="D43" s="456" t="s">
        <v>111</v>
      </c>
      <c r="E43" s="462" t="s">
        <v>1206</v>
      </c>
      <c r="F43" s="184">
        <v>335000</v>
      </c>
      <c r="G43" s="82" t="s">
        <v>23</v>
      </c>
      <c r="H43" s="82" t="s">
        <v>77</v>
      </c>
      <c r="I43" s="82">
        <v>1399</v>
      </c>
      <c r="J43" s="468" t="s">
        <v>25</v>
      </c>
      <c r="K43" s="661">
        <v>1</v>
      </c>
      <c r="L43" s="467"/>
      <c r="M43" s="22" t="s">
        <v>33</v>
      </c>
      <c r="N43" s="22"/>
      <c r="O43" s="22"/>
      <c r="P43" s="459"/>
    </row>
    <row r="44" spans="1:16" s="34" customFormat="1" ht="36">
      <c r="A44" s="354">
        <v>38</v>
      </c>
      <c r="B44" s="6" t="s">
        <v>75</v>
      </c>
      <c r="C44" s="354" t="s">
        <v>1009</v>
      </c>
      <c r="D44" s="456" t="s">
        <v>111</v>
      </c>
      <c r="E44" s="462" t="s">
        <v>112</v>
      </c>
      <c r="F44" s="184">
        <v>240000</v>
      </c>
      <c r="G44" s="82" t="s">
        <v>23</v>
      </c>
      <c r="H44" s="82" t="s">
        <v>77</v>
      </c>
      <c r="I44" s="82">
        <v>1399</v>
      </c>
      <c r="J44" s="468" t="s">
        <v>25</v>
      </c>
      <c r="K44" s="661">
        <v>1</v>
      </c>
      <c r="L44" s="467"/>
      <c r="M44" s="22" t="s">
        <v>33</v>
      </c>
      <c r="N44" s="22"/>
      <c r="O44" s="22"/>
      <c r="P44" s="459"/>
    </row>
    <row r="45" spans="1:16" s="559" customFormat="1" ht="61.5" customHeight="1">
      <c r="A45" s="354">
        <v>39</v>
      </c>
      <c r="B45" s="6" t="s">
        <v>75</v>
      </c>
      <c r="C45" s="354"/>
      <c r="D45" s="236" t="s">
        <v>73</v>
      </c>
      <c r="E45" s="237" t="s">
        <v>74</v>
      </c>
      <c r="F45" s="290">
        <v>252859.83600000001</v>
      </c>
      <c r="G45" s="561" t="s">
        <v>23</v>
      </c>
      <c r="H45" s="561" t="s">
        <v>77</v>
      </c>
      <c r="I45" s="561">
        <v>1399</v>
      </c>
      <c r="J45" s="22" t="s">
        <v>25</v>
      </c>
      <c r="K45" s="289"/>
      <c r="L45" s="561" t="s">
        <v>72</v>
      </c>
      <c r="M45" s="22"/>
      <c r="N45" s="623" t="s">
        <v>581</v>
      </c>
      <c r="O45" s="236" t="s">
        <v>1833</v>
      </c>
      <c r="P45" s="560"/>
    </row>
    <row r="46" spans="1:16" s="559" customFormat="1" ht="61.5" customHeight="1">
      <c r="A46" s="354">
        <v>40</v>
      </c>
      <c r="B46" s="6" t="s">
        <v>75</v>
      </c>
      <c r="C46" s="354"/>
      <c r="D46" s="236" t="s">
        <v>73</v>
      </c>
      <c r="E46" s="237" t="s">
        <v>97</v>
      </c>
      <c r="F46" s="37">
        <v>1282840</v>
      </c>
      <c r="G46" s="561" t="s">
        <v>23</v>
      </c>
      <c r="H46" s="561" t="s">
        <v>77</v>
      </c>
      <c r="I46" s="561">
        <v>1399</v>
      </c>
      <c r="J46" s="22" t="s">
        <v>25</v>
      </c>
      <c r="K46" s="289"/>
      <c r="L46" s="561" t="s">
        <v>72</v>
      </c>
      <c r="M46" s="22"/>
      <c r="N46" s="623" t="s">
        <v>581</v>
      </c>
      <c r="O46" s="236" t="s">
        <v>1833</v>
      </c>
      <c r="P46" s="560"/>
    </row>
    <row r="47" spans="1:16" ht="18">
      <c r="A47" s="145"/>
      <c r="B47" s="145"/>
      <c r="C47" s="145"/>
      <c r="D47" s="145"/>
      <c r="E47" s="145"/>
      <c r="F47" s="145"/>
      <c r="G47" s="145"/>
      <c r="H47" s="145"/>
      <c r="I47" s="145"/>
      <c r="J47" s="145"/>
      <c r="K47" s="289"/>
      <c r="L47" s="145"/>
      <c r="M47" s="145"/>
      <c r="N47" s="145"/>
      <c r="O47" s="145"/>
    </row>
  </sheetData>
  <autoFilter ref="D1:D42"/>
  <mergeCells count="20">
    <mergeCell ref="P30:P32"/>
    <mergeCell ref="P33:P34"/>
    <mergeCell ref="P36:P37"/>
    <mergeCell ref="P39:P40"/>
    <mergeCell ref="L5:M5"/>
    <mergeCell ref="N5:N6"/>
    <mergeCell ref="O5:O6"/>
    <mergeCell ref="P5:P6"/>
    <mergeCell ref="P21:P22"/>
    <mergeCell ref="P28:P29"/>
    <mergeCell ref="A1:P4"/>
    <mergeCell ref="A5:A6"/>
    <mergeCell ref="B5:B6"/>
    <mergeCell ref="C5:C6"/>
    <mergeCell ref="D5:D6"/>
    <mergeCell ref="E5:E6"/>
    <mergeCell ref="F5:H5"/>
    <mergeCell ref="I5:I6"/>
    <mergeCell ref="J5:J6"/>
    <mergeCell ref="K5:K6"/>
  </mergeCells>
  <printOptions horizontalCentered="1"/>
  <pageMargins left="0.2" right="0.2" top="0.5" bottom="0.5" header="0.3" footer="0.3"/>
  <pageSetup paperSize="9" scale="64"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sheetPr>
    <tabColor rgb="FF92D050"/>
  </sheetPr>
  <dimension ref="A1:S145"/>
  <sheetViews>
    <sheetView rightToLeft="1" zoomScale="84" zoomScaleNormal="84" workbookViewId="0">
      <pane xSplit="1" ySplit="6" topLeftCell="B140" activePane="bottomRight" state="frozen"/>
      <selection pane="topRight" activeCell="B1" sqref="B1"/>
      <selection pane="bottomLeft" activeCell="A4" sqref="A4"/>
      <selection pane="bottomRight" activeCell="D143" sqref="D143"/>
    </sheetView>
  </sheetViews>
  <sheetFormatPr defaultColWidth="9.140625" defaultRowHeight="18"/>
  <cols>
    <col min="1" max="1" width="8.5703125" style="202" customWidth="1"/>
    <col min="2" max="2" width="17.85546875" style="199" customWidth="1"/>
    <col min="3" max="3" width="13.42578125" style="202" customWidth="1"/>
    <col min="4" max="4" width="14.28515625" style="282" customWidth="1"/>
    <col min="5" max="5" width="33.5703125" style="199" customWidth="1"/>
    <col min="6" max="6" width="23" style="198" customWidth="1"/>
    <col min="7" max="7" width="11.28515625" style="198" customWidth="1"/>
    <col min="8" max="8" width="14.7109375" style="198" customWidth="1"/>
    <col min="9" max="9" width="10.42578125" style="202" customWidth="1"/>
    <col min="10" max="10" width="14.140625" style="199" customWidth="1"/>
    <col min="11" max="11" width="10.85546875" style="283" customWidth="1"/>
    <col min="12" max="12" width="11.7109375" style="202" customWidth="1"/>
    <col min="13" max="13" width="17.28515625" style="282" customWidth="1"/>
    <col min="14" max="14" width="24.5703125" style="281" customWidth="1"/>
    <col min="15" max="15" width="22.5703125" style="281" customWidth="1"/>
    <col min="16" max="16" width="22.7109375" style="198" customWidth="1"/>
    <col min="17" max="16384" width="9.140625" style="198"/>
  </cols>
  <sheetData>
    <row r="1" spans="1:16" s="145" customFormat="1" ht="18" customHeight="1">
      <c r="A1" s="788" t="s">
        <v>1807</v>
      </c>
      <c r="B1" s="789"/>
      <c r="C1" s="789"/>
      <c r="D1" s="789"/>
      <c r="E1" s="789"/>
      <c r="F1" s="789"/>
      <c r="G1" s="789"/>
      <c r="H1" s="789"/>
      <c r="I1" s="789"/>
      <c r="J1" s="789"/>
      <c r="K1" s="789"/>
      <c r="L1" s="789"/>
      <c r="M1" s="789"/>
      <c r="N1" s="789"/>
      <c r="O1" s="789"/>
      <c r="P1" s="789"/>
    </row>
    <row r="2" spans="1:16" s="145" customFormat="1" ht="18" customHeight="1">
      <c r="A2" s="789"/>
      <c r="B2" s="789"/>
      <c r="C2" s="789"/>
      <c r="D2" s="789"/>
      <c r="E2" s="789"/>
      <c r="F2" s="789"/>
      <c r="G2" s="789"/>
      <c r="H2" s="789"/>
      <c r="I2" s="789"/>
      <c r="J2" s="789"/>
      <c r="K2" s="789"/>
      <c r="L2" s="789"/>
      <c r="M2" s="789"/>
      <c r="N2" s="789"/>
      <c r="O2" s="789"/>
      <c r="P2" s="789"/>
    </row>
    <row r="3" spans="1:16" s="145" customFormat="1" ht="18" customHeight="1">
      <c r="A3" s="789"/>
      <c r="B3" s="789"/>
      <c r="C3" s="789"/>
      <c r="D3" s="789"/>
      <c r="E3" s="789"/>
      <c r="F3" s="789"/>
      <c r="G3" s="789"/>
      <c r="H3" s="789"/>
      <c r="I3" s="789"/>
      <c r="J3" s="789"/>
      <c r="K3" s="789"/>
      <c r="L3" s="789"/>
      <c r="M3" s="789"/>
      <c r="N3" s="789"/>
      <c r="O3" s="789"/>
      <c r="P3" s="789"/>
    </row>
    <row r="4" spans="1:16" s="145" customFormat="1" ht="18" customHeight="1">
      <c r="A4" s="790"/>
      <c r="B4" s="790"/>
      <c r="C4" s="790"/>
      <c r="D4" s="790"/>
      <c r="E4" s="790"/>
      <c r="F4" s="790"/>
      <c r="G4" s="790"/>
      <c r="H4" s="790"/>
      <c r="I4" s="790"/>
      <c r="J4" s="790"/>
      <c r="K4" s="790"/>
      <c r="L4" s="790"/>
      <c r="M4" s="790"/>
      <c r="N4" s="790"/>
      <c r="O4" s="790"/>
      <c r="P4" s="790"/>
    </row>
    <row r="5" spans="1:16" ht="29.45" customHeight="1">
      <c r="A5" s="791" t="s">
        <v>0</v>
      </c>
      <c r="B5" s="791" t="s">
        <v>14</v>
      </c>
      <c r="C5" s="791" t="s">
        <v>18</v>
      </c>
      <c r="D5" s="791" t="s">
        <v>1</v>
      </c>
      <c r="E5" s="837" t="s">
        <v>15</v>
      </c>
      <c r="F5" s="791" t="s">
        <v>9</v>
      </c>
      <c r="G5" s="791"/>
      <c r="H5" s="791"/>
      <c r="I5" s="791" t="s">
        <v>7</v>
      </c>
      <c r="J5" s="791" t="s">
        <v>6</v>
      </c>
      <c r="K5" s="791" t="s">
        <v>16</v>
      </c>
      <c r="L5" s="791" t="s">
        <v>2</v>
      </c>
      <c r="M5" s="791"/>
      <c r="N5" s="791" t="s">
        <v>5</v>
      </c>
      <c r="O5" s="791" t="s">
        <v>13</v>
      </c>
      <c r="P5" s="791" t="s">
        <v>8</v>
      </c>
    </row>
    <row r="6" spans="1:16" ht="28.9" customHeight="1">
      <c r="A6" s="791"/>
      <c r="B6" s="791"/>
      <c r="C6" s="791"/>
      <c r="D6" s="791"/>
      <c r="E6" s="837"/>
      <c r="F6" s="146" t="s">
        <v>10</v>
      </c>
      <c r="G6" s="146" t="s">
        <v>11</v>
      </c>
      <c r="H6" s="146" t="s">
        <v>12</v>
      </c>
      <c r="I6" s="791"/>
      <c r="J6" s="791"/>
      <c r="K6" s="791"/>
      <c r="L6" s="146" t="s">
        <v>3</v>
      </c>
      <c r="M6" s="146" t="s">
        <v>4</v>
      </c>
      <c r="N6" s="791"/>
      <c r="O6" s="791"/>
      <c r="P6" s="791"/>
    </row>
    <row r="7" spans="1:16" s="605" customFormat="1" ht="69.599999999999994" customHeight="1">
      <c r="A7" s="362">
        <v>1</v>
      </c>
      <c r="B7" s="581" t="s">
        <v>75</v>
      </c>
      <c r="C7" s="581"/>
      <c r="D7" s="362" t="s">
        <v>320</v>
      </c>
      <c r="E7" s="335" t="s">
        <v>1646</v>
      </c>
      <c r="F7" s="364">
        <v>498000</v>
      </c>
      <c r="G7" s="362" t="s">
        <v>23</v>
      </c>
      <c r="H7" s="362" t="s">
        <v>77</v>
      </c>
      <c r="I7" s="362">
        <v>1399</v>
      </c>
      <c r="J7" s="362" t="s">
        <v>25</v>
      </c>
      <c r="K7" s="413">
        <v>1</v>
      </c>
      <c r="L7" s="581"/>
      <c r="M7" s="366" t="s">
        <v>33</v>
      </c>
      <c r="N7" s="362"/>
      <c r="O7" s="362"/>
      <c r="P7" s="580"/>
    </row>
    <row r="8" spans="1:16" s="605" customFormat="1" ht="108.6" customHeight="1">
      <c r="A8" s="362">
        <v>2</v>
      </c>
      <c r="B8" s="581" t="s">
        <v>75</v>
      </c>
      <c r="C8" s="581" t="s">
        <v>184</v>
      </c>
      <c r="D8" s="362" t="s">
        <v>1566</v>
      </c>
      <c r="E8" s="335" t="s">
        <v>1647</v>
      </c>
      <c r="F8" s="364">
        <v>62818789.743589744</v>
      </c>
      <c r="G8" s="362" t="s">
        <v>23</v>
      </c>
      <c r="H8" s="362" t="s">
        <v>77</v>
      </c>
      <c r="I8" s="362">
        <v>1399</v>
      </c>
      <c r="J8" s="362" t="s">
        <v>25</v>
      </c>
      <c r="K8" s="413">
        <v>1</v>
      </c>
      <c r="L8" s="581"/>
      <c r="M8" s="366" t="s">
        <v>33</v>
      </c>
      <c r="N8" s="362"/>
      <c r="O8" s="362"/>
      <c r="P8" s="580"/>
    </row>
    <row r="9" spans="1:16" s="605" customFormat="1" ht="47.25" customHeight="1">
      <c r="A9" s="362">
        <v>3</v>
      </c>
      <c r="B9" s="581" t="s">
        <v>75</v>
      </c>
      <c r="C9" s="581" t="s">
        <v>184</v>
      </c>
      <c r="D9" s="362" t="s">
        <v>1566</v>
      </c>
      <c r="E9" s="335" t="s">
        <v>1648</v>
      </c>
      <c r="F9" s="364">
        <v>28706971.428571399</v>
      </c>
      <c r="G9" s="362" t="s">
        <v>23</v>
      </c>
      <c r="H9" s="362" t="s">
        <v>77</v>
      </c>
      <c r="I9" s="362">
        <v>1399</v>
      </c>
      <c r="J9" s="362" t="s">
        <v>25</v>
      </c>
      <c r="K9" s="413">
        <v>1</v>
      </c>
      <c r="L9" s="581"/>
      <c r="M9" s="366" t="s">
        <v>33</v>
      </c>
      <c r="N9" s="362"/>
      <c r="O9" s="362"/>
      <c r="P9" s="580"/>
    </row>
    <row r="10" spans="1:16" s="605" customFormat="1" ht="47.25" customHeight="1">
      <c r="A10" s="362">
        <v>4</v>
      </c>
      <c r="B10" s="581" t="s">
        <v>75</v>
      </c>
      <c r="C10" s="581" t="s">
        <v>1649</v>
      </c>
      <c r="D10" s="362" t="s">
        <v>1566</v>
      </c>
      <c r="E10" s="335" t="s">
        <v>1650</v>
      </c>
      <c r="F10" s="364">
        <v>4899960</v>
      </c>
      <c r="G10" s="362" t="s">
        <v>23</v>
      </c>
      <c r="H10" s="362" t="s">
        <v>77</v>
      </c>
      <c r="I10" s="362">
        <v>1399</v>
      </c>
      <c r="J10" s="362" t="s">
        <v>25</v>
      </c>
      <c r="K10" s="413">
        <v>1</v>
      </c>
      <c r="L10" s="581"/>
      <c r="M10" s="366" t="s">
        <v>33</v>
      </c>
      <c r="N10" s="362"/>
      <c r="O10" s="362"/>
      <c r="P10" s="580"/>
    </row>
    <row r="11" spans="1:16" s="605" customFormat="1" ht="47.25" customHeight="1">
      <c r="A11" s="362">
        <v>5</v>
      </c>
      <c r="B11" s="581" t="s">
        <v>75</v>
      </c>
      <c r="C11" s="581" t="s">
        <v>1649</v>
      </c>
      <c r="D11" s="362" t="s">
        <v>1566</v>
      </c>
      <c r="E11" s="335" t="s">
        <v>1651</v>
      </c>
      <c r="F11" s="364">
        <v>3702020</v>
      </c>
      <c r="G11" s="362" t="s">
        <v>23</v>
      </c>
      <c r="H11" s="362" t="s">
        <v>77</v>
      </c>
      <c r="I11" s="362">
        <v>1399</v>
      </c>
      <c r="J11" s="362" t="s">
        <v>25</v>
      </c>
      <c r="K11" s="413">
        <v>1</v>
      </c>
      <c r="L11" s="581"/>
      <c r="M11" s="366" t="s">
        <v>33</v>
      </c>
      <c r="N11" s="362"/>
      <c r="O11" s="362"/>
      <c r="P11" s="580"/>
    </row>
    <row r="12" spans="1:16" s="605" customFormat="1" ht="47.25" customHeight="1">
      <c r="A12" s="362">
        <v>6</v>
      </c>
      <c r="B12" s="581" t="s">
        <v>75</v>
      </c>
      <c r="C12" s="581" t="s">
        <v>184</v>
      </c>
      <c r="D12" s="362" t="s">
        <v>1566</v>
      </c>
      <c r="E12" s="335" t="s">
        <v>1652</v>
      </c>
      <c r="F12" s="364">
        <v>38000000</v>
      </c>
      <c r="G12" s="362" t="s">
        <v>23</v>
      </c>
      <c r="H12" s="362" t="s">
        <v>77</v>
      </c>
      <c r="I12" s="362">
        <v>1399</v>
      </c>
      <c r="J12" s="362" t="s">
        <v>25</v>
      </c>
      <c r="K12" s="413">
        <v>1</v>
      </c>
      <c r="L12" s="581"/>
      <c r="M12" s="366" t="s">
        <v>33</v>
      </c>
      <c r="N12" s="362"/>
      <c r="O12" s="362"/>
      <c r="P12" s="580"/>
    </row>
    <row r="13" spans="1:16" s="605" customFormat="1" ht="47.25" customHeight="1">
      <c r="A13" s="362">
        <v>7</v>
      </c>
      <c r="B13" s="581" t="s">
        <v>75</v>
      </c>
      <c r="C13" s="581" t="s">
        <v>184</v>
      </c>
      <c r="D13" s="362" t="s">
        <v>1566</v>
      </c>
      <c r="E13" s="335" t="s">
        <v>1653</v>
      </c>
      <c r="F13" s="364">
        <v>4200000</v>
      </c>
      <c r="G13" s="362" t="s">
        <v>23</v>
      </c>
      <c r="H13" s="362" t="s">
        <v>77</v>
      </c>
      <c r="I13" s="362">
        <v>1399</v>
      </c>
      <c r="J13" s="362" t="s">
        <v>25</v>
      </c>
      <c r="K13" s="413">
        <v>1</v>
      </c>
      <c r="L13" s="581"/>
      <c r="M13" s="366" t="s">
        <v>33</v>
      </c>
      <c r="N13" s="362"/>
      <c r="O13" s="362"/>
      <c r="P13" s="580"/>
    </row>
    <row r="14" spans="1:16" s="605" customFormat="1" ht="47.25" customHeight="1">
      <c r="A14" s="362">
        <v>8</v>
      </c>
      <c r="B14" s="581" t="s">
        <v>75</v>
      </c>
      <c r="C14" s="581" t="s">
        <v>184</v>
      </c>
      <c r="D14" s="362" t="s">
        <v>1566</v>
      </c>
      <c r="E14" s="335" t="s">
        <v>1654</v>
      </c>
      <c r="F14" s="364">
        <v>3000000</v>
      </c>
      <c r="G14" s="362" t="s">
        <v>23</v>
      </c>
      <c r="H14" s="362" t="s">
        <v>77</v>
      </c>
      <c r="I14" s="362">
        <v>1399</v>
      </c>
      <c r="J14" s="362" t="s">
        <v>25</v>
      </c>
      <c r="K14" s="413">
        <v>1</v>
      </c>
      <c r="L14" s="581"/>
      <c r="M14" s="366" t="s">
        <v>33</v>
      </c>
      <c r="N14" s="362"/>
      <c r="O14" s="362"/>
      <c r="P14" s="580"/>
    </row>
    <row r="15" spans="1:16" s="605" customFormat="1" ht="47.25" customHeight="1">
      <c r="A15" s="362">
        <v>9</v>
      </c>
      <c r="B15" s="581" t="s">
        <v>75</v>
      </c>
      <c r="C15" s="581" t="s">
        <v>184</v>
      </c>
      <c r="D15" s="362" t="s">
        <v>1566</v>
      </c>
      <c r="E15" s="335" t="s">
        <v>1655</v>
      </c>
      <c r="F15" s="364">
        <v>11000000</v>
      </c>
      <c r="G15" s="362" t="s">
        <v>23</v>
      </c>
      <c r="H15" s="362" t="s">
        <v>77</v>
      </c>
      <c r="I15" s="362">
        <v>1399</v>
      </c>
      <c r="J15" s="362" t="s">
        <v>25</v>
      </c>
      <c r="K15" s="413">
        <v>1</v>
      </c>
      <c r="L15" s="581"/>
      <c r="M15" s="366" t="s">
        <v>33</v>
      </c>
      <c r="N15" s="362"/>
      <c r="O15" s="362"/>
      <c r="P15" s="580"/>
    </row>
    <row r="16" spans="1:16" s="605" customFormat="1" ht="47.25" customHeight="1">
      <c r="A16" s="362">
        <v>10</v>
      </c>
      <c r="B16" s="581" t="s">
        <v>75</v>
      </c>
      <c r="C16" s="581" t="s">
        <v>1656</v>
      </c>
      <c r="D16" s="362" t="s">
        <v>1566</v>
      </c>
      <c r="E16" s="335" t="s">
        <v>1657</v>
      </c>
      <c r="F16" s="364">
        <v>4917466.666666667</v>
      </c>
      <c r="G16" s="362" t="s">
        <v>23</v>
      </c>
      <c r="H16" s="362" t="s">
        <v>77</v>
      </c>
      <c r="I16" s="362">
        <v>1399</v>
      </c>
      <c r="J16" s="362" t="s">
        <v>25</v>
      </c>
      <c r="K16" s="413">
        <v>1</v>
      </c>
      <c r="L16" s="581"/>
      <c r="M16" s="366" t="s">
        <v>33</v>
      </c>
      <c r="N16" s="362"/>
      <c r="O16" s="362"/>
      <c r="P16" s="580"/>
    </row>
    <row r="17" spans="1:16" s="605" customFormat="1" ht="47.25" customHeight="1">
      <c r="A17" s="362">
        <v>11</v>
      </c>
      <c r="B17" s="581" t="s">
        <v>75</v>
      </c>
      <c r="C17" s="581" t="s">
        <v>184</v>
      </c>
      <c r="D17" s="362" t="s">
        <v>1566</v>
      </c>
      <c r="E17" s="335" t="s">
        <v>1658</v>
      </c>
      <c r="F17" s="364">
        <v>15540453.161172152</v>
      </c>
      <c r="G17" s="362" t="s">
        <v>23</v>
      </c>
      <c r="H17" s="362" t="s">
        <v>77</v>
      </c>
      <c r="I17" s="362">
        <v>1399</v>
      </c>
      <c r="J17" s="362" t="s">
        <v>25</v>
      </c>
      <c r="K17" s="413">
        <v>1</v>
      </c>
      <c r="L17" s="581"/>
      <c r="M17" s="366" t="s">
        <v>33</v>
      </c>
      <c r="N17" s="362"/>
      <c r="O17" s="362"/>
      <c r="P17" s="580"/>
    </row>
    <row r="18" spans="1:16" s="605" customFormat="1" ht="47.25" customHeight="1">
      <c r="A18" s="362">
        <v>12</v>
      </c>
      <c r="B18" s="581" t="s">
        <v>75</v>
      </c>
      <c r="C18" s="581" t="s">
        <v>184</v>
      </c>
      <c r="D18" s="362" t="s">
        <v>1566</v>
      </c>
      <c r="E18" s="335" t="s">
        <v>1659</v>
      </c>
      <c r="F18" s="364">
        <v>17624340</v>
      </c>
      <c r="G18" s="362" t="s">
        <v>23</v>
      </c>
      <c r="H18" s="362" t="s">
        <v>77</v>
      </c>
      <c r="I18" s="362">
        <v>1399</v>
      </c>
      <c r="J18" s="362" t="s">
        <v>25</v>
      </c>
      <c r="K18" s="413">
        <v>1</v>
      </c>
      <c r="L18" s="581"/>
      <c r="M18" s="366" t="s">
        <v>33</v>
      </c>
      <c r="N18" s="362"/>
      <c r="O18" s="362"/>
      <c r="P18" s="580"/>
    </row>
    <row r="19" spans="1:16" ht="37.5">
      <c r="A19" s="362">
        <v>13</v>
      </c>
      <c r="B19" s="412" t="s">
        <v>75</v>
      </c>
      <c r="C19" s="581" t="s">
        <v>1660</v>
      </c>
      <c r="D19" s="581" t="s">
        <v>1523</v>
      </c>
      <c r="E19" s="335" t="s">
        <v>1661</v>
      </c>
      <c r="F19" s="364">
        <v>1983555</v>
      </c>
      <c r="G19" s="362" t="s">
        <v>23</v>
      </c>
      <c r="H19" s="362" t="s">
        <v>77</v>
      </c>
      <c r="I19" s="362">
        <v>1399</v>
      </c>
      <c r="J19" s="362" t="s">
        <v>25</v>
      </c>
      <c r="K19" s="413">
        <v>1</v>
      </c>
      <c r="L19" s="581"/>
      <c r="M19" s="366" t="s">
        <v>33</v>
      </c>
      <c r="N19" s="362"/>
      <c r="O19" s="362"/>
      <c r="P19" s="580"/>
    </row>
    <row r="20" spans="1:16" ht="37.5">
      <c r="A20" s="362">
        <v>14</v>
      </c>
      <c r="B20" s="412" t="s">
        <v>75</v>
      </c>
      <c r="C20" s="581" t="s">
        <v>184</v>
      </c>
      <c r="D20" s="581" t="s">
        <v>1523</v>
      </c>
      <c r="E20" s="335" t="s">
        <v>1662</v>
      </c>
      <c r="F20" s="364">
        <v>48440600</v>
      </c>
      <c r="G20" s="362" t="s">
        <v>23</v>
      </c>
      <c r="H20" s="362" t="s">
        <v>77</v>
      </c>
      <c r="I20" s="362">
        <v>1399</v>
      </c>
      <c r="J20" s="362" t="s">
        <v>25</v>
      </c>
      <c r="K20" s="413">
        <v>1</v>
      </c>
      <c r="L20" s="581"/>
      <c r="M20" s="366" t="s">
        <v>33</v>
      </c>
      <c r="N20" s="362"/>
      <c r="O20" s="362"/>
      <c r="P20" s="580"/>
    </row>
    <row r="21" spans="1:16" s="287" customFormat="1" ht="57" customHeight="1">
      <c r="A21" s="362">
        <v>15</v>
      </c>
      <c r="B21" s="363" t="s">
        <v>75</v>
      </c>
      <c r="C21" s="363" t="s">
        <v>647</v>
      </c>
      <c r="D21" s="362" t="s">
        <v>21</v>
      </c>
      <c r="E21" s="335" t="s">
        <v>689</v>
      </c>
      <c r="F21" s="364">
        <v>2560000</v>
      </c>
      <c r="G21" s="362" t="s">
        <v>23</v>
      </c>
      <c r="H21" s="362" t="s">
        <v>77</v>
      </c>
      <c r="I21" s="362">
        <v>1399</v>
      </c>
      <c r="J21" s="362" t="s">
        <v>25</v>
      </c>
      <c r="K21" s="413">
        <v>1</v>
      </c>
      <c r="L21" s="362"/>
      <c r="M21" s="366" t="s">
        <v>33</v>
      </c>
      <c r="N21" s="362"/>
      <c r="O21" s="368"/>
      <c r="P21" s="367"/>
    </row>
    <row r="22" spans="1:16" s="287" customFormat="1" ht="56.25">
      <c r="A22" s="362">
        <v>16</v>
      </c>
      <c r="B22" s="363" t="s">
        <v>75</v>
      </c>
      <c r="C22" s="363" t="s">
        <v>647</v>
      </c>
      <c r="D22" s="362" t="s">
        <v>21</v>
      </c>
      <c r="E22" s="335" t="s">
        <v>79</v>
      </c>
      <c r="F22" s="364">
        <v>82000</v>
      </c>
      <c r="G22" s="362" t="s">
        <v>23</v>
      </c>
      <c r="H22" s="362" t="s">
        <v>77</v>
      </c>
      <c r="I22" s="362">
        <v>1399</v>
      </c>
      <c r="J22" s="362" t="s">
        <v>25</v>
      </c>
      <c r="K22" s="413">
        <v>1</v>
      </c>
      <c r="L22" s="362"/>
      <c r="M22" s="366" t="s">
        <v>33</v>
      </c>
      <c r="N22" s="362"/>
      <c r="O22" s="368"/>
      <c r="P22" s="367"/>
    </row>
    <row r="23" spans="1:16" s="284" customFormat="1" ht="83.25" customHeight="1">
      <c r="A23" s="362">
        <v>17</v>
      </c>
      <c r="B23" s="363" t="s">
        <v>75</v>
      </c>
      <c r="C23" s="363" t="s">
        <v>688</v>
      </c>
      <c r="D23" s="362" t="s">
        <v>40</v>
      </c>
      <c r="E23" s="369" t="s">
        <v>687</v>
      </c>
      <c r="F23" s="364">
        <v>14418720</v>
      </c>
      <c r="G23" s="362" t="s">
        <v>23</v>
      </c>
      <c r="H23" s="362" t="s">
        <v>41</v>
      </c>
      <c r="I23" s="362">
        <v>1399</v>
      </c>
      <c r="J23" s="362" t="s">
        <v>25</v>
      </c>
      <c r="K23" s="413">
        <v>1</v>
      </c>
      <c r="L23" s="362"/>
      <c r="M23" s="366" t="s">
        <v>33</v>
      </c>
      <c r="N23" s="370"/>
      <c r="O23" s="371"/>
      <c r="P23" s="856"/>
    </row>
    <row r="24" spans="1:16" s="284" customFormat="1" ht="51.6" customHeight="1">
      <c r="A24" s="362">
        <v>18</v>
      </c>
      <c r="B24" s="363" t="s">
        <v>75</v>
      </c>
      <c r="C24" s="363" t="s">
        <v>686</v>
      </c>
      <c r="D24" s="362" t="s">
        <v>40</v>
      </c>
      <c r="E24" s="369" t="s">
        <v>685</v>
      </c>
      <c r="F24" s="364">
        <v>5658120</v>
      </c>
      <c r="G24" s="362" t="s">
        <v>23</v>
      </c>
      <c r="H24" s="362" t="s">
        <v>41</v>
      </c>
      <c r="I24" s="362">
        <v>1399</v>
      </c>
      <c r="J24" s="362" t="s">
        <v>25</v>
      </c>
      <c r="K24" s="413">
        <v>1</v>
      </c>
      <c r="L24" s="362"/>
      <c r="M24" s="366" t="s">
        <v>33</v>
      </c>
      <c r="N24" s="370"/>
      <c r="O24" s="367"/>
      <c r="P24" s="856"/>
    </row>
    <row r="25" spans="1:16" s="284" customFormat="1" ht="58.9" customHeight="1">
      <c r="A25" s="362">
        <v>19</v>
      </c>
      <c r="B25" s="363" t="s">
        <v>75</v>
      </c>
      <c r="C25" s="363"/>
      <c r="D25" s="362" t="s">
        <v>40</v>
      </c>
      <c r="E25" s="369" t="s">
        <v>43</v>
      </c>
      <c r="F25" s="367" t="s">
        <v>17</v>
      </c>
      <c r="G25" s="362" t="s">
        <v>17</v>
      </c>
      <c r="H25" s="362" t="s">
        <v>17</v>
      </c>
      <c r="I25" s="362">
        <v>1399</v>
      </c>
      <c r="J25" s="362" t="s">
        <v>25</v>
      </c>
      <c r="K25" s="413">
        <v>1</v>
      </c>
      <c r="L25" s="370"/>
      <c r="M25" s="366" t="s">
        <v>33</v>
      </c>
      <c r="N25" s="370" t="s">
        <v>17</v>
      </c>
      <c r="O25" s="372"/>
      <c r="P25" s="368" t="s">
        <v>956</v>
      </c>
    </row>
    <row r="26" spans="1:16" s="284" customFormat="1" ht="59.25" customHeight="1">
      <c r="A26" s="362">
        <v>20</v>
      </c>
      <c r="B26" s="363" t="s">
        <v>75</v>
      </c>
      <c r="C26" s="363" t="s">
        <v>642</v>
      </c>
      <c r="D26" s="362" t="s">
        <v>40</v>
      </c>
      <c r="E26" s="369" t="s">
        <v>684</v>
      </c>
      <c r="F26" s="364">
        <v>339561</v>
      </c>
      <c r="G26" s="362" t="s">
        <v>23</v>
      </c>
      <c r="H26" s="362" t="s">
        <v>41</v>
      </c>
      <c r="I26" s="362">
        <v>1399</v>
      </c>
      <c r="J26" s="362" t="s">
        <v>25</v>
      </c>
      <c r="K26" s="413">
        <v>1</v>
      </c>
      <c r="L26" s="370"/>
      <c r="M26" s="366" t="s">
        <v>33</v>
      </c>
      <c r="N26" s="373" t="s">
        <v>17</v>
      </c>
      <c r="O26" s="371"/>
      <c r="P26" s="368"/>
    </row>
    <row r="27" spans="1:16" s="284" customFormat="1" ht="100.9" customHeight="1">
      <c r="A27" s="362">
        <v>21</v>
      </c>
      <c r="B27" s="363" t="s">
        <v>75</v>
      </c>
      <c r="C27" s="363"/>
      <c r="D27" s="362" t="s">
        <v>40</v>
      </c>
      <c r="E27" s="374" t="s">
        <v>159</v>
      </c>
      <c r="F27" s="645">
        <f>102300*2</f>
        <v>204600</v>
      </c>
      <c r="G27" s="362" t="s">
        <v>23</v>
      </c>
      <c r="H27" s="362" t="s">
        <v>41</v>
      </c>
      <c r="I27" s="362">
        <v>1399</v>
      </c>
      <c r="J27" s="362" t="s">
        <v>25</v>
      </c>
      <c r="K27" s="413">
        <v>1</v>
      </c>
      <c r="L27" s="370" t="s">
        <v>1828</v>
      </c>
      <c r="M27" s="366" t="s">
        <v>33</v>
      </c>
      <c r="N27" s="454" t="s">
        <v>325</v>
      </c>
      <c r="O27" s="22" t="s">
        <v>1001</v>
      </c>
      <c r="P27" s="856"/>
    </row>
    <row r="28" spans="1:16" s="284" customFormat="1" ht="83.45" customHeight="1">
      <c r="A28" s="362">
        <v>22</v>
      </c>
      <c r="B28" s="363" t="s">
        <v>75</v>
      </c>
      <c r="C28" s="363"/>
      <c r="D28" s="362" t="s">
        <v>40</v>
      </c>
      <c r="E28" s="369" t="s">
        <v>683</v>
      </c>
      <c r="F28" s="645">
        <v>192510</v>
      </c>
      <c r="G28" s="362" t="s">
        <v>23</v>
      </c>
      <c r="H28" s="362" t="s">
        <v>41</v>
      </c>
      <c r="I28" s="362">
        <v>1399</v>
      </c>
      <c r="J28" s="362" t="s">
        <v>25</v>
      </c>
      <c r="K28" s="413">
        <v>1</v>
      </c>
      <c r="L28" s="370" t="s">
        <v>1828</v>
      </c>
      <c r="M28" s="366" t="s">
        <v>33</v>
      </c>
      <c r="N28" s="454" t="s">
        <v>325</v>
      </c>
      <c r="O28" s="22" t="s">
        <v>1001</v>
      </c>
      <c r="P28" s="856"/>
    </row>
    <row r="29" spans="1:16" s="284" customFormat="1" ht="85.15" customHeight="1">
      <c r="A29" s="362">
        <v>23</v>
      </c>
      <c r="B29" s="363" t="s">
        <v>75</v>
      </c>
      <c r="C29" s="363"/>
      <c r="D29" s="362" t="s">
        <v>40</v>
      </c>
      <c r="E29" s="369" t="s">
        <v>682</v>
      </c>
      <c r="F29" s="645">
        <f>311000*3</f>
        <v>933000</v>
      </c>
      <c r="G29" s="362" t="s">
        <v>23</v>
      </c>
      <c r="H29" s="362" t="s">
        <v>41</v>
      </c>
      <c r="I29" s="362">
        <v>1399</v>
      </c>
      <c r="J29" s="362" t="s">
        <v>25</v>
      </c>
      <c r="K29" s="413">
        <v>1</v>
      </c>
      <c r="L29" s="370" t="s">
        <v>1828</v>
      </c>
      <c r="M29" s="366" t="s">
        <v>33</v>
      </c>
      <c r="N29" s="454" t="s">
        <v>325</v>
      </c>
      <c r="O29" s="22" t="s">
        <v>1001</v>
      </c>
      <c r="P29" s="856"/>
    </row>
    <row r="30" spans="1:16" s="284" customFormat="1" ht="97.9" customHeight="1">
      <c r="A30" s="362">
        <v>24</v>
      </c>
      <c r="B30" s="363" t="s">
        <v>75</v>
      </c>
      <c r="C30" s="363"/>
      <c r="D30" s="362" t="s">
        <v>40</v>
      </c>
      <c r="E30" s="369" t="s">
        <v>198</v>
      </c>
      <c r="F30" s="645">
        <f>10* 404438</f>
        <v>4044380</v>
      </c>
      <c r="G30" s="362" t="s">
        <v>23</v>
      </c>
      <c r="H30" s="362" t="s">
        <v>41</v>
      </c>
      <c r="I30" s="362">
        <v>1399</v>
      </c>
      <c r="J30" s="362" t="s">
        <v>25</v>
      </c>
      <c r="K30" s="413">
        <v>1</v>
      </c>
      <c r="L30" s="370" t="s">
        <v>1828</v>
      </c>
      <c r="M30" s="366" t="s">
        <v>33</v>
      </c>
      <c r="N30" s="454" t="s">
        <v>325</v>
      </c>
      <c r="O30" s="22" t="s">
        <v>1001</v>
      </c>
      <c r="P30" s="856"/>
    </row>
    <row r="31" spans="1:16" s="284" customFormat="1" ht="56.25">
      <c r="A31" s="362">
        <v>25</v>
      </c>
      <c r="B31" s="363" t="s">
        <v>75</v>
      </c>
      <c r="C31" s="363" t="s">
        <v>681</v>
      </c>
      <c r="D31" s="362" t="s">
        <v>40</v>
      </c>
      <c r="E31" s="369" t="s">
        <v>680</v>
      </c>
      <c r="F31" s="364">
        <f>1285*148</f>
        <v>190180</v>
      </c>
      <c r="G31" s="362" t="s">
        <v>23</v>
      </c>
      <c r="H31" s="362" t="s">
        <v>41</v>
      </c>
      <c r="I31" s="362">
        <v>1399</v>
      </c>
      <c r="J31" s="362" t="s">
        <v>25</v>
      </c>
      <c r="K31" s="413">
        <v>1</v>
      </c>
      <c r="L31" s="370"/>
      <c r="M31" s="366" t="s">
        <v>33</v>
      </c>
      <c r="N31" s="370"/>
      <c r="O31" s="367" t="s">
        <v>17</v>
      </c>
      <c r="P31" s="856"/>
    </row>
    <row r="32" spans="1:16" s="284" customFormat="1" ht="90">
      <c r="A32" s="362">
        <v>26</v>
      </c>
      <c r="B32" s="363" t="s">
        <v>75</v>
      </c>
      <c r="C32" s="363"/>
      <c r="D32" s="362" t="s">
        <v>40</v>
      </c>
      <c r="E32" s="369" t="s">
        <v>45</v>
      </c>
      <c r="F32" s="645">
        <f>4*375000</f>
        <v>1500000</v>
      </c>
      <c r="G32" s="362" t="s">
        <v>23</v>
      </c>
      <c r="H32" s="362" t="s">
        <v>41</v>
      </c>
      <c r="I32" s="362">
        <v>1399</v>
      </c>
      <c r="J32" s="362" t="s">
        <v>25</v>
      </c>
      <c r="K32" s="413">
        <v>1</v>
      </c>
      <c r="L32" s="370" t="s">
        <v>1828</v>
      </c>
      <c r="M32" s="366" t="s">
        <v>33</v>
      </c>
      <c r="N32" s="648" t="s">
        <v>325</v>
      </c>
      <c r="O32" s="22" t="s">
        <v>1001</v>
      </c>
      <c r="P32" s="856"/>
    </row>
    <row r="33" spans="1:16" s="284" customFormat="1" ht="90">
      <c r="A33" s="362">
        <v>27</v>
      </c>
      <c r="B33" s="363" t="s">
        <v>75</v>
      </c>
      <c r="C33" s="363"/>
      <c r="D33" s="362" t="s">
        <v>40</v>
      </c>
      <c r="E33" s="369" t="s">
        <v>679</v>
      </c>
      <c r="F33" s="645">
        <v>372000</v>
      </c>
      <c r="G33" s="362" t="s">
        <v>23</v>
      </c>
      <c r="H33" s="362" t="s">
        <v>41</v>
      </c>
      <c r="I33" s="362">
        <v>1399</v>
      </c>
      <c r="J33" s="362" t="s">
        <v>25</v>
      </c>
      <c r="K33" s="413">
        <v>1</v>
      </c>
      <c r="L33" s="370" t="s">
        <v>1828</v>
      </c>
      <c r="M33" s="366" t="s">
        <v>33</v>
      </c>
      <c r="N33" s="648" t="s">
        <v>325</v>
      </c>
      <c r="O33" s="22" t="s">
        <v>1001</v>
      </c>
      <c r="P33" s="856"/>
    </row>
    <row r="34" spans="1:16" s="284" customFormat="1" ht="90">
      <c r="A34" s="362">
        <v>28</v>
      </c>
      <c r="B34" s="363" t="s">
        <v>75</v>
      </c>
      <c r="C34" s="363" t="s">
        <v>678</v>
      </c>
      <c r="D34" s="362" t="s">
        <v>40</v>
      </c>
      <c r="E34" s="369" t="s">
        <v>238</v>
      </c>
      <c r="F34" s="364">
        <f>28*22320</f>
        <v>624960</v>
      </c>
      <c r="G34" s="362" t="s">
        <v>23</v>
      </c>
      <c r="H34" s="362" t="s">
        <v>41</v>
      </c>
      <c r="I34" s="362">
        <v>1399</v>
      </c>
      <c r="J34" s="362" t="s">
        <v>25</v>
      </c>
      <c r="K34" s="413">
        <v>1</v>
      </c>
      <c r="L34" s="370" t="s">
        <v>1828</v>
      </c>
      <c r="M34" s="366" t="s">
        <v>33</v>
      </c>
      <c r="N34" s="648" t="s">
        <v>325</v>
      </c>
      <c r="O34" s="22" t="s">
        <v>1001</v>
      </c>
      <c r="P34" s="856"/>
    </row>
    <row r="35" spans="1:16" s="284" customFormat="1" ht="91.9" customHeight="1">
      <c r="A35" s="362">
        <v>29</v>
      </c>
      <c r="B35" s="363" t="s">
        <v>75</v>
      </c>
      <c r="C35" s="363"/>
      <c r="D35" s="362" t="s">
        <v>40</v>
      </c>
      <c r="E35" s="369" t="s">
        <v>186</v>
      </c>
      <c r="F35" s="645">
        <f>4* 297600</f>
        <v>1190400</v>
      </c>
      <c r="G35" s="362" t="s">
        <v>23</v>
      </c>
      <c r="H35" s="362" t="s">
        <v>41</v>
      </c>
      <c r="I35" s="362">
        <v>1399</v>
      </c>
      <c r="J35" s="362" t="s">
        <v>25</v>
      </c>
      <c r="K35" s="413">
        <v>1</v>
      </c>
      <c r="L35" s="370" t="s">
        <v>1828</v>
      </c>
      <c r="M35" s="366" t="s">
        <v>33</v>
      </c>
      <c r="N35" s="454" t="s">
        <v>325</v>
      </c>
      <c r="O35" s="22" t="s">
        <v>1001</v>
      </c>
      <c r="P35" s="856"/>
    </row>
    <row r="36" spans="1:16" s="284" customFormat="1" ht="87" customHeight="1">
      <c r="A36" s="362">
        <v>30</v>
      </c>
      <c r="B36" s="363" t="s">
        <v>75</v>
      </c>
      <c r="C36" s="363"/>
      <c r="D36" s="362" t="s">
        <v>40</v>
      </c>
      <c r="E36" s="369" t="s">
        <v>677</v>
      </c>
      <c r="F36" s="645">
        <f>3* 3645</f>
        <v>10935</v>
      </c>
      <c r="G36" s="362" t="s">
        <v>23</v>
      </c>
      <c r="H36" s="362" t="s">
        <v>41</v>
      </c>
      <c r="I36" s="362">
        <v>1399</v>
      </c>
      <c r="J36" s="362" t="s">
        <v>25</v>
      </c>
      <c r="K36" s="413">
        <v>1</v>
      </c>
      <c r="L36" s="370" t="s">
        <v>1828</v>
      </c>
      <c r="M36" s="366" t="s">
        <v>33</v>
      </c>
      <c r="N36" s="454" t="s">
        <v>325</v>
      </c>
      <c r="O36" s="22" t="s">
        <v>1001</v>
      </c>
      <c r="P36" s="856"/>
    </row>
    <row r="37" spans="1:16" s="284" customFormat="1" ht="91.15" customHeight="1">
      <c r="A37" s="362">
        <v>31</v>
      </c>
      <c r="B37" s="363" t="s">
        <v>75</v>
      </c>
      <c r="C37" s="363"/>
      <c r="D37" s="362" t="s">
        <v>40</v>
      </c>
      <c r="E37" s="369" t="s">
        <v>676</v>
      </c>
      <c r="F37" s="645">
        <f>3*44640</f>
        <v>133920</v>
      </c>
      <c r="G37" s="362" t="s">
        <v>23</v>
      </c>
      <c r="H37" s="362" t="s">
        <v>41</v>
      </c>
      <c r="I37" s="362">
        <v>1399</v>
      </c>
      <c r="J37" s="362" t="s">
        <v>25</v>
      </c>
      <c r="K37" s="413">
        <v>1</v>
      </c>
      <c r="L37" s="370" t="s">
        <v>1828</v>
      </c>
      <c r="M37" s="366" t="s">
        <v>33</v>
      </c>
      <c r="N37" s="454" t="s">
        <v>325</v>
      </c>
      <c r="O37" s="22" t="s">
        <v>1001</v>
      </c>
      <c r="P37" s="367"/>
    </row>
    <row r="38" spans="1:16" s="284" customFormat="1" ht="102.6" customHeight="1">
      <c r="A38" s="362">
        <v>32</v>
      </c>
      <c r="B38" s="363" t="s">
        <v>75</v>
      </c>
      <c r="C38" s="363"/>
      <c r="D38" s="362" t="s">
        <v>40</v>
      </c>
      <c r="E38" s="369" t="s">
        <v>675</v>
      </c>
      <c r="F38" s="645">
        <f>400* 2804</f>
        <v>1121600</v>
      </c>
      <c r="G38" s="362" t="s">
        <v>23</v>
      </c>
      <c r="H38" s="362" t="s">
        <v>41</v>
      </c>
      <c r="I38" s="362">
        <v>1399</v>
      </c>
      <c r="J38" s="362" t="s">
        <v>25</v>
      </c>
      <c r="K38" s="413">
        <v>1</v>
      </c>
      <c r="L38" s="370" t="s">
        <v>1828</v>
      </c>
      <c r="M38" s="366" t="s">
        <v>33</v>
      </c>
      <c r="N38" s="454" t="s">
        <v>325</v>
      </c>
      <c r="O38" s="22" t="s">
        <v>1001</v>
      </c>
      <c r="P38" s="856"/>
    </row>
    <row r="39" spans="1:16" s="284" customFormat="1" ht="98.45" customHeight="1">
      <c r="A39" s="362">
        <v>33</v>
      </c>
      <c r="B39" s="363" t="s">
        <v>75</v>
      </c>
      <c r="C39" s="363"/>
      <c r="D39" s="362" t="s">
        <v>40</v>
      </c>
      <c r="E39" s="369" t="s">
        <v>674</v>
      </c>
      <c r="F39" s="645">
        <f>300*1518</f>
        <v>455400</v>
      </c>
      <c r="G39" s="362" t="s">
        <v>23</v>
      </c>
      <c r="H39" s="362" t="s">
        <v>41</v>
      </c>
      <c r="I39" s="362">
        <v>1399</v>
      </c>
      <c r="J39" s="362" t="s">
        <v>25</v>
      </c>
      <c r="K39" s="413">
        <v>1</v>
      </c>
      <c r="L39" s="370" t="s">
        <v>1828</v>
      </c>
      <c r="M39" s="366" t="s">
        <v>33</v>
      </c>
      <c r="N39" s="454" t="s">
        <v>325</v>
      </c>
      <c r="O39" s="22" t="s">
        <v>1001</v>
      </c>
      <c r="P39" s="856"/>
    </row>
    <row r="40" spans="1:16" s="284" customFormat="1" ht="105" customHeight="1">
      <c r="A40" s="362">
        <v>34</v>
      </c>
      <c r="B40" s="363" t="s">
        <v>75</v>
      </c>
      <c r="C40" s="363"/>
      <c r="D40" s="362" t="s">
        <v>40</v>
      </c>
      <c r="E40" s="376" t="s">
        <v>673</v>
      </c>
      <c r="F40" s="645">
        <f>2* 781200</f>
        <v>1562400</v>
      </c>
      <c r="G40" s="362" t="s">
        <v>23</v>
      </c>
      <c r="H40" s="362" t="s">
        <v>41</v>
      </c>
      <c r="I40" s="362">
        <v>1399</v>
      </c>
      <c r="J40" s="362" t="s">
        <v>25</v>
      </c>
      <c r="K40" s="413">
        <v>1</v>
      </c>
      <c r="L40" s="370" t="s">
        <v>1828</v>
      </c>
      <c r="M40" s="366" t="s">
        <v>33</v>
      </c>
      <c r="N40" s="454" t="s">
        <v>325</v>
      </c>
      <c r="O40" s="22" t="s">
        <v>1001</v>
      </c>
      <c r="P40" s="856"/>
    </row>
    <row r="41" spans="1:16" s="284" customFormat="1" ht="97.15" customHeight="1">
      <c r="A41" s="362">
        <v>35</v>
      </c>
      <c r="B41" s="363" t="s">
        <v>75</v>
      </c>
      <c r="C41" s="363"/>
      <c r="D41" s="362" t="s">
        <v>40</v>
      </c>
      <c r="E41" s="369" t="s">
        <v>672</v>
      </c>
      <c r="F41" s="645">
        <f>8* 42514</f>
        <v>340112</v>
      </c>
      <c r="G41" s="362" t="s">
        <v>23</v>
      </c>
      <c r="H41" s="362" t="s">
        <v>41</v>
      </c>
      <c r="I41" s="362">
        <v>1399</v>
      </c>
      <c r="J41" s="362" t="s">
        <v>25</v>
      </c>
      <c r="K41" s="413">
        <v>1</v>
      </c>
      <c r="L41" s="370" t="s">
        <v>1828</v>
      </c>
      <c r="M41" s="366" t="s">
        <v>33</v>
      </c>
      <c r="N41" s="454" t="s">
        <v>325</v>
      </c>
      <c r="O41" s="22" t="s">
        <v>1001</v>
      </c>
      <c r="P41" s="856"/>
    </row>
    <row r="42" spans="1:16" s="284" customFormat="1" ht="79.150000000000006" customHeight="1">
      <c r="A42" s="362">
        <v>36</v>
      </c>
      <c r="B42" s="363" t="s">
        <v>75</v>
      </c>
      <c r="C42" s="363"/>
      <c r="D42" s="362" t="s">
        <v>40</v>
      </c>
      <c r="E42" s="335" t="s">
        <v>671</v>
      </c>
      <c r="F42" s="645">
        <f>300* 1041</f>
        <v>312300</v>
      </c>
      <c r="G42" s="362" t="s">
        <v>23</v>
      </c>
      <c r="H42" s="362" t="s">
        <v>41</v>
      </c>
      <c r="I42" s="362">
        <v>1399</v>
      </c>
      <c r="J42" s="362" t="s">
        <v>25</v>
      </c>
      <c r="K42" s="413">
        <v>1</v>
      </c>
      <c r="L42" s="370" t="s">
        <v>1828</v>
      </c>
      <c r="M42" s="366" t="s">
        <v>33</v>
      </c>
      <c r="N42" s="454" t="s">
        <v>325</v>
      </c>
      <c r="O42" s="22" t="s">
        <v>1001</v>
      </c>
      <c r="P42" s="856"/>
    </row>
    <row r="43" spans="1:16" s="284" customFormat="1" ht="88.15" customHeight="1">
      <c r="A43" s="362">
        <v>37</v>
      </c>
      <c r="B43" s="363" t="s">
        <v>75</v>
      </c>
      <c r="C43" s="363"/>
      <c r="D43" s="362" t="s">
        <v>40</v>
      </c>
      <c r="E43" s="335" t="s">
        <v>670</v>
      </c>
      <c r="F43" s="645">
        <f>500* 729</f>
        <v>364500</v>
      </c>
      <c r="G43" s="362" t="s">
        <v>23</v>
      </c>
      <c r="H43" s="362" t="s">
        <v>41</v>
      </c>
      <c r="I43" s="362">
        <v>1399</v>
      </c>
      <c r="J43" s="362" t="s">
        <v>25</v>
      </c>
      <c r="K43" s="413">
        <v>1</v>
      </c>
      <c r="L43" s="370" t="s">
        <v>1828</v>
      </c>
      <c r="M43" s="366" t="s">
        <v>33</v>
      </c>
      <c r="N43" s="454" t="s">
        <v>325</v>
      </c>
      <c r="O43" s="22" t="s">
        <v>1001</v>
      </c>
      <c r="P43" s="856"/>
    </row>
    <row r="44" spans="1:16" s="284" customFormat="1" ht="72" customHeight="1">
      <c r="A44" s="362">
        <v>38</v>
      </c>
      <c r="B44" s="363" t="s">
        <v>75</v>
      </c>
      <c r="C44" s="363"/>
      <c r="D44" s="362" t="s">
        <v>40</v>
      </c>
      <c r="E44" s="335" t="s">
        <v>669</v>
      </c>
      <c r="F44" s="645">
        <f>500* 911</f>
        <v>455500</v>
      </c>
      <c r="G44" s="362" t="s">
        <v>23</v>
      </c>
      <c r="H44" s="362" t="s">
        <v>41</v>
      </c>
      <c r="I44" s="362">
        <v>1399</v>
      </c>
      <c r="J44" s="362" t="s">
        <v>25</v>
      </c>
      <c r="K44" s="413">
        <v>1</v>
      </c>
      <c r="L44" s="370" t="s">
        <v>1828</v>
      </c>
      <c r="M44" s="366" t="s">
        <v>33</v>
      </c>
      <c r="N44" s="454" t="s">
        <v>325</v>
      </c>
      <c r="O44" s="22" t="s">
        <v>1001</v>
      </c>
      <c r="P44" s="370"/>
    </row>
    <row r="45" spans="1:16" s="284" customFormat="1" ht="56.25">
      <c r="A45" s="362">
        <v>39</v>
      </c>
      <c r="B45" s="363" t="s">
        <v>75</v>
      </c>
      <c r="C45" s="363"/>
      <c r="D45" s="362" t="s">
        <v>40</v>
      </c>
      <c r="E45" s="369" t="s">
        <v>668</v>
      </c>
      <c r="F45" s="364">
        <f>1500*315</f>
        <v>472500</v>
      </c>
      <c r="G45" s="362" t="s">
        <v>23</v>
      </c>
      <c r="H45" s="362" t="s">
        <v>41</v>
      </c>
      <c r="I45" s="362">
        <v>1399</v>
      </c>
      <c r="J45" s="362" t="s">
        <v>25</v>
      </c>
      <c r="K45" s="413">
        <v>1</v>
      </c>
      <c r="L45" s="370"/>
      <c r="M45" s="366" t="s">
        <v>33</v>
      </c>
      <c r="N45" s="370"/>
      <c r="O45" s="367" t="s">
        <v>17</v>
      </c>
      <c r="P45" s="377"/>
    </row>
    <row r="46" spans="1:16" s="284" customFormat="1" ht="81" customHeight="1">
      <c r="A46" s="362">
        <v>40</v>
      </c>
      <c r="B46" s="363" t="s">
        <v>75</v>
      </c>
      <c r="C46" s="363"/>
      <c r="D46" s="362" t="s">
        <v>40</v>
      </c>
      <c r="E46" s="369" t="s">
        <v>667</v>
      </c>
      <c r="F46" s="645">
        <f>10* 45570</f>
        <v>455700</v>
      </c>
      <c r="G46" s="362" t="s">
        <v>23</v>
      </c>
      <c r="H46" s="362" t="s">
        <v>41</v>
      </c>
      <c r="I46" s="362">
        <v>1399</v>
      </c>
      <c r="J46" s="362" t="s">
        <v>25</v>
      </c>
      <c r="K46" s="413">
        <v>1</v>
      </c>
      <c r="L46" s="370" t="s">
        <v>1828</v>
      </c>
      <c r="M46" s="366" t="s">
        <v>33</v>
      </c>
      <c r="N46" s="454" t="s">
        <v>325</v>
      </c>
      <c r="O46" s="22" t="s">
        <v>1001</v>
      </c>
      <c r="P46" s="370"/>
    </row>
    <row r="47" spans="1:16" s="284" customFormat="1" ht="83.45" customHeight="1">
      <c r="A47" s="362">
        <v>41</v>
      </c>
      <c r="B47" s="363" t="s">
        <v>75</v>
      </c>
      <c r="C47" s="363"/>
      <c r="D47" s="362" t="s">
        <v>40</v>
      </c>
      <c r="E47" s="369" t="s">
        <v>666</v>
      </c>
      <c r="F47" s="645">
        <f>80* 10416</f>
        <v>833280</v>
      </c>
      <c r="G47" s="362" t="s">
        <v>23</v>
      </c>
      <c r="H47" s="362" t="s">
        <v>41</v>
      </c>
      <c r="I47" s="362">
        <v>1399</v>
      </c>
      <c r="J47" s="362" t="s">
        <v>25</v>
      </c>
      <c r="K47" s="413">
        <v>1</v>
      </c>
      <c r="L47" s="370" t="s">
        <v>1828</v>
      </c>
      <c r="M47" s="366" t="s">
        <v>33</v>
      </c>
      <c r="N47" s="454" t="s">
        <v>325</v>
      </c>
      <c r="O47" s="22" t="s">
        <v>1001</v>
      </c>
      <c r="P47" s="370"/>
    </row>
    <row r="48" spans="1:16" s="284" customFormat="1" ht="82.9" customHeight="1">
      <c r="A48" s="362">
        <v>42</v>
      </c>
      <c r="B48" s="363" t="s">
        <v>75</v>
      </c>
      <c r="C48" s="363"/>
      <c r="D48" s="362" t="s">
        <v>40</v>
      </c>
      <c r="E48" s="369" t="s">
        <v>665</v>
      </c>
      <c r="F48" s="645">
        <f>60*36456</f>
        <v>2187360</v>
      </c>
      <c r="G48" s="362" t="s">
        <v>23</v>
      </c>
      <c r="H48" s="362" t="s">
        <v>41</v>
      </c>
      <c r="I48" s="362">
        <v>1399</v>
      </c>
      <c r="J48" s="362" t="s">
        <v>25</v>
      </c>
      <c r="K48" s="413">
        <v>1</v>
      </c>
      <c r="L48" s="370" t="s">
        <v>1828</v>
      </c>
      <c r="M48" s="366" t="s">
        <v>33</v>
      </c>
      <c r="N48" s="454" t="s">
        <v>325</v>
      </c>
      <c r="O48" s="22" t="s">
        <v>1001</v>
      </c>
      <c r="P48" s="370"/>
    </row>
    <row r="49" spans="1:16" s="284" customFormat="1" ht="90" customHeight="1">
      <c r="A49" s="362">
        <v>43</v>
      </c>
      <c r="B49" s="363" t="s">
        <v>75</v>
      </c>
      <c r="C49" s="363"/>
      <c r="D49" s="362" t="s">
        <v>40</v>
      </c>
      <c r="E49" s="369" t="s">
        <v>664</v>
      </c>
      <c r="F49" s="645">
        <f>5* 396797</f>
        <v>1983985</v>
      </c>
      <c r="G49" s="362" t="s">
        <v>23</v>
      </c>
      <c r="H49" s="362" t="s">
        <v>41</v>
      </c>
      <c r="I49" s="362">
        <v>1399</v>
      </c>
      <c r="J49" s="362" t="s">
        <v>25</v>
      </c>
      <c r="K49" s="413">
        <v>1</v>
      </c>
      <c r="L49" s="370" t="s">
        <v>1828</v>
      </c>
      <c r="M49" s="366" t="s">
        <v>33</v>
      </c>
      <c r="N49" s="454" t="s">
        <v>325</v>
      </c>
      <c r="O49" s="22" t="s">
        <v>1001</v>
      </c>
      <c r="P49" s="367"/>
    </row>
    <row r="50" spans="1:16" s="284" customFormat="1" ht="81.599999999999994" customHeight="1">
      <c r="A50" s="362">
        <v>44</v>
      </c>
      <c r="B50" s="363" t="s">
        <v>75</v>
      </c>
      <c r="C50" s="363"/>
      <c r="D50" s="362" t="s">
        <v>40</v>
      </c>
      <c r="E50" s="369" t="s">
        <v>663</v>
      </c>
      <c r="F50" s="645">
        <f>10.01*50000</f>
        <v>500500</v>
      </c>
      <c r="G50" s="362" t="s">
        <v>23</v>
      </c>
      <c r="H50" s="362" t="s">
        <v>41</v>
      </c>
      <c r="I50" s="362">
        <v>1399</v>
      </c>
      <c r="J50" s="362" t="s">
        <v>25</v>
      </c>
      <c r="K50" s="413">
        <v>1</v>
      </c>
      <c r="L50" s="370" t="s">
        <v>1828</v>
      </c>
      <c r="M50" s="366" t="s">
        <v>33</v>
      </c>
      <c r="N50" s="454" t="s">
        <v>325</v>
      </c>
      <c r="O50" s="22" t="s">
        <v>1001</v>
      </c>
      <c r="P50" s="856"/>
    </row>
    <row r="51" spans="1:16" s="284" customFormat="1" ht="97.9" customHeight="1">
      <c r="A51" s="362">
        <v>45</v>
      </c>
      <c r="B51" s="363" t="s">
        <v>75</v>
      </c>
      <c r="C51" s="363"/>
      <c r="D51" s="362" t="s">
        <v>40</v>
      </c>
      <c r="E51" s="369" t="s">
        <v>662</v>
      </c>
      <c r="F51" s="645">
        <v>2695000</v>
      </c>
      <c r="G51" s="362" t="s">
        <v>23</v>
      </c>
      <c r="H51" s="362" t="s">
        <v>41</v>
      </c>
      <c r="I51" s="362">
        <v>1399</v>
      </c>
      <c r="J51" s="362" t="s">
        <v>25</v>
      </c>
      <c r="K51" s="413">
        <v>1</v>
      </c>
      <c r="L51" s="370" t="s">
        <v>1828</v>
      </c>
      <c r="M51" s="366" t="s">
        <v>33</v>
      </c>
      <c r="N51" s="454" t="s">
        <v>325</v>
      </c>
      <c r="O51" s="22" t="s">
        <v>1001</v>
      </c>
      <c r="P51" s="856"/>
    </row>
    <row r="52" spans="1:16" s="284" customFormat="1" ht="61.9" customHeight="1">
      <c r="A52" s="362">
        <v>46</v>
      </c>
      <c r="B52" s="363" t="s">
        <v>75</v>
      </c>
      <c r="C52" s="363" t="s">
        <v>659</v>
      </c>
      <c r="D52" s="362" t="s">
        <v>40</v>
      </c>
      <c r="E52" s="369" t="s">
        <v>660</v>
      </c>
      <c r="F52" s="364">
        <f>9*66000</f>
        <v>594000</v>
      </c>
      <c r="G52" s="362" t="s">
        <v>23</v>
      </c>
      <c r="H52" s="362" t="s">
        <v>41</v>
      </c>
      <c r="I52" s="362">
        <v>1399</v>
      </c>
      <c r="J52" s="362" t="s">
        <v>25</v>
      </c>
      <c r="K52" s="413">
        <v>1</v>
      </c>
      <c r="L52" s="370"/>
      <c r="M52" s="366" t="s">
        <v>33</v>
      </c>
      <c r="N52" s="370"/>
      <c r="O52" s="367"/>
      <c r="P52" s="856"/>
    </row>
    <row r="53" spans="1:16" s="284" customFormat="1" ht="84" customHeight="1">
      <c r="A53" s="362">
        <v>47</v>
      </c>
      <c r="B53" s="363" t="s">
        <v>75</v>
      </c>
      <c r="C53" s="363" t="s">
        <v>659</v>
      </c>
      <c r="D53" s="362" t="s">
        <v>40</v>
      </c>
      <c r="E53" s="369" t="s">
        <v>658</v>
      </c>
      <c r="F53" s="364">
        <f>18*30000</f>
        <v>540000</v>
      </c>
      <c r="G53" s="362" t="s">
        <v>23</v>
      </c>
      <c r="H53" s="362" t="s">
        <v>41</v>
      </c>
      <c r="I53" s="362">
        <v>1399</v>
      </c>
      <c r="J53" s="362" t="s">
        <v>25</v>
      </c>
      <c r="K53" s="413">
        <v>1</v>
      </c>
      <c r="L53" s="370"/>
      <c r="M53" s="366" t="s">
        <v>33</v>
      </c>
      <c r="N53" s="370"/>
      <c r="O53" s="367"/>
      <c r="P53" s="856"/>
    </row>
    <row r="54" spans="1:16" s="284" customFormat="1" ht="91.9" customHeight="1">
      <c r="A54" s="362">
        <v>48</v>
      </c>
      <c r="B54" s="363" t="s">
        <v>75</v>
      </c>
      <c r="C54" s="363"/>
      <c r="D54" s="362" t="s">
        <v>40</v>
      </c>
      <c r="E54" s="369" t="s">
        <v>657</v>
      </c>
      <c r="F54" s="645">
        <f>1170* 900</f>
        <v>1053000</v>
      </c>
      <c r="G54" s="362" t="s">
        <v>23</v>
      </c>
      <c r="H54" s="362" t="s">
        <v>41</v>
      </c>
      <c r="I54" s="362">
        <v>1399</v>
      </c>
      <c r="J54" s="362" t="s">
        <v>25</v>
      </c>
      <c r="K54" s="413">
        <v>1</v>
      </c>
      <c r="L54" s="370" t="s">
        <v>1828</v>
      </c>
      <c r="M54" s="366" t="s">
        <v>33</v>
      </c>
      <c r="N54" s="454" t="s">
        <v>325</v>
      </c>
      <c r="O54" s="22" t="s">
        <v>1001</v>
      </c>
      <c r="P54" s="856"/>
    </row>
    <row r="55" spans="1:16" s="284" customFormat="1" ht="58.15" customHeight="1">
      <c r="A55" s="362">
        <v>49</v>
      </c>
      <c r="B55" s="363"/>
      <c r="C55" s="363" t="s">
        <v>656</v>
      </c>
      <c r="D55" s="375" t="s">
        <v>40</v>
      </c>
      <c r="E55" s="379" t="s">
        <v>655</v>
      </c>
      <c r="F55" s="380">
        <f>75937500/3</f>
        <v>25312500</v>
      </c>
      <c r="G55" s="363" t="s">
        <v>23</v>
      </c>
      <c r="H55" s="363" t="s">
        <v>41</v>
      </c>
      <c r="I55" s="363">
        <v>1399</v>
      </c>
      <c r="J55" s="381" t="s">
        <v>25</v>
      </c>
      <c r="K55" s="413">
        <v>1</v>
      </c>
      <c r="L55" s="382"/>
      <c r="M55" s="366" t="s">
        <v>33</v>
      </c>
      <c r="N55" s="378"/>
      <c r="O55" s="378"/>
      <c r="P55" s="367"/>
    </row>
    <row r="56" spans="1:16" s="284" customFormat="1" ht="102" customHeight="1">
      <c r="A56" s="362">
        <v>50</v>
      </c>
      <c r="B56" s="363" t="s">
        <v>75</v>
      </c>
      <c r="C56" s="363"/>
      <c r="D56" s="362" t="s">
        <v>40</v>
      </c>
      <c r="E56" s="369" t="s">
        <v>654</v>
      </c>
      <c r="F56" s="645">
        <v>3750000</v>
      </c>
      <c r="G56" s="362" t="s">
        <v>23</v>
      </c>
      <c r="H56" s="362" t="s">
        <v>41</v>
      </c>
      <c r="I56" s="362">
        <v>1399</v>
      </c>
      <c r="J56" s="362" t="s">
        <v>25</v>
      </c>
      <c r="K56" s="413">
        <v>1</v>
      </c>
      <c r="L56" s="370" t="s">
        <v>1828</v>
      </c>
      <c r="M56" s="366" t="s">
        <v>33</v>
      </c>
      <c r="N56" s="375" t="s">
        <v>325</v>
      </c>
      <c r="O56" s="367" t="s">
        <v>661</v>
      </c>
      <c r="P56" s="367" t="s">
        <v>17</v>
      </c>
    </row>
    <row r="57" spans="1:16" s="284" customFormat="1" ht="66.599999999999994" customHeight="1">
      <c r="A57" s="362">
        <v>51</v>
      </c>
      <c r="B57" s="363" t="s">
        <v>75</v>
      </c>
      <c r="C57" s="363" t="s">
        <v>647</v>
      </c>
      <c r="D57" s="362" t="s">
        <v>28</v>
      </c>
      <c r="E57" s="369" t="s">
        <v>653</v>
      </c>
      <c r="F57" s="364">
        <v>9240000</v>
      </c>
      <c r="G57" s="362" t="s">
        <v>23</v>
      </c>
      <c r="H57" s="362" t="s">
        <v>77</v>
      </c>
      <c r="I57" s="362">
        <v>1399</v>
      </c>
      <c r="J57" s="362" t="s">
        <v>25</v>
      </c>
      <c r="K57" s="413">
        <v>1</v>
      </c>
      <c r="L57" s="362"/>
      <c r="M57" s="366" t="s">
        <v>33</v>
      </c>
      <c r="N57" s="362"/>
      <c r="O57" s="367"/>
      <c r="P57" s="367"/>
    </row>
    <row r="58" spans="1:16" s="284" customFormat="1" ht="112.5">
      <c r="A58" s="362">
        <v>52</v>
      </c>
      <c r="B58" s="363" t="s">
        <v>75</v>
      </c>
      <c r="C58" s="363" t="s">
        <v>647</v>
      </c>
      <c r="D58" s="362" t="s">
        <v>28</v>
      </c>
      <c r="E58" s="335" t="s">
        <v>29</v>
      </c>
      <c r="F58" s="364">
        <v>135000</v>
      </c>
      <c r="G58" s="362" t="s">
        <v>23</v>
      </c>
      <c r="H58" s="362" t="s">
        <v>77</v>
      </c>
      <c r="I58" s="362">
        <v>1399</v>
      </c>
      <c r="J58" s="362" t="s">
        <v>25</v>
      </c>
      <c r="K58" s="413">
        <v>1</v>
      </c>
      <c r="L58" s="362"/>
      <c r="M58" s="366" t="s">
        <v>33</v>
      </c>
      <c r="N58" s="362"/>
      <c r="O58" s="367" t="s">
        <v>17</v>
      </c>
      <c r="P58" s="367"/>
    </row>
    <row r="59" spans="1:16" s="284" customFormat="1" ht="108.75" customHeight="1">
      <c r="A59" s="362">
        <v>53</v>
      </c>
      <c r="B59" s="363" t="s">
        <v>75</v>
      </c>
      <c r="C59" s="363" t="s">
        <v>647</v>
      </c>
      <c r="D59" s="362" t="s">
        <v>28</v>
      </c>
      <c r="E59" s="369" t="s">
        <v>99</v>
      </c>
      <c r="F59" s="364">
        <v>62250</v>
      </c>
      <c r="G59" s="362" t="s">
        <v>23</v>
      </c>
      <c r="H59" s="362" t="s">
        <v>77</v>
      </c>
      <c r="I59" s="362">
        <v>1399</v>
      </c>
      <c r="J59" s="362" t="s">
        <v>25</v>
      </c>
      <c r="K59" s="413">
        <v>1</v>
      </c>
      <c r="L59" s="362"/>
      <c r="M59" s="366" t="s">
        <v>33</v>
      </c>
      <c r="N59" s="362"/>
      <c r="O59" s="367"/>
      <c r="P59" s="367"/>
    </row>
    <row r="60" spans="1:16" s="287" customFormat="1" ht="57" customHeight="1">
      <c r="A60" s="362">
        <v>54</v>
      </c>
      <c r="B60" s="363" t="s">
        <v>75</v>
      </c>
      <c r="C60" s="363" t="s">
        <v>647</v>
      </c>
      <c r="D60" s="362" t="s">
        <v>31</v>
      </c>
      <c r="E60" s="335" t="s">
        <v>80</v>
      </c>
      <c r="F60" s="364">
        <v>600500</v>
      </c>
      <c r="G60" s="362" t="s">
        <v>23</v>
      </c>
      <c r="H60" s="362" t="s">
        <v>77</v>
      </c>
      <c r="I60" s="362">
        <v>1399</v>
      </c>
      <c r="J60" s="362" t="s">
        <v>25</v>
      </c>
      <c r="K60" s="413">
        <v>1</v>
      </c>
      <c r="L60" s="370"/>
      <c r="M60" s="366" t="s">
        <v>33</v>
      </c>
      <c r="N60" s="370"/>
      <c r="O60" s="383"/>
      <c r="P60" s="367" t="s">
        <v>17</v>
      </c>
    </row>
    <row r="61" spans="1:16" s="287" customFormat="1" ht="36" customHeight="1">
      <c r="A61" s="362">
        <v>55</v>
      </c>
      <c r="B61" s="363" t="s">
        <v>75</v>
      </c>
      <c r="C61" s="363" t="s">
        <v>647</v>
      </c>
      <c r="D61" s="362" t="s">
        <v>31</v>
      </c>
      <c r="E61" s="335" t="s">
        <v>34</v>
      </c>
      <c r="F61" s="364">
        <v>502773</v>
      </c>
      <c r="G61" s="362" t="s">
        <v>23</v>
      </c>
      <c r="H61" s="362" t="s">
        <v>77</v>
      </c>
      <c r="I61" s="362">
        <v>1399</v>
      </c>
      <c r="J61" s="362" t="s">
        <v>25</v>
      </c>
      <c r="K61" s="413">
        <v>1</v>
      </c>
      <c r="L61" s="370"/>
      <c r="M61" s="366" t="s">
        <v>33</v>
      </c>
      <c r="N61" s="370"/>
      <c r="O61" s="367"/>
      <c r="P61" s="367"/>
    </row>
    <row r="62" spans="1:16" s="287" customFormat="1" ht="48.6" customHeight="1">
      <c r="A62" s="362">
        <v>56</v>
      </c>
      <c r="B62" s="363" t="s">
        <v>75</v>
      </c>
      <c r="C62" s="363" t="s">
        <v>652</v>
      </c>
      <c r="D62" s="362" t="s">
        <v>31</v>
      </c>
      <c r="E62" s="335" t="s">
        <v>651</v>
      </c>
      <c r="F62" s="364">
        <v>3978296</v>
      </c>
      <c r="G62" s="362" t="s">
        <v>23</v>
      </c>
      <c r="H62" s="362" t="s">
        <v>77</v>
      </c>
      <c r="I62" s="363">
        <v>1399</v>
      </c>
      <c r="J62" s="362" t="s">
        <v>25</v>
      </c>
      <c r="K62" s="413">
        <v>1</v>
      </c>
      <c r="L62" s="384"/>
      <c r="M62" s="366" t="s">
        <v>33</v>
      </c>
      <c r="N62" s="370"/>
      <c r="O62" s="367"/>
      <c r="P62" s="367" t="s">
        <v>17</v>
      </c>
    </row>
    <row r="63" spans="1:16" s="287" customFormat="1" ht="61.5" customHeight="1">
      <c r="A63" s="362">
        <v>57</v>
      </c>
      <c r="B63" s="363" t="s">
        <v>75</v>
      </c>
      <c r="C63" s="363" t="s">
        <v>650</v>
      </c>
      <c r="D63" s="362" t="s">
        <v>31</v>
      </c>
      <c r="E63" s="335" t="s">
        <v>649</v>
      </c>
      <c r="F63" s="364">
        <v>2478255</v>
      </c>
      <c r="G63" s="362" t="s">
        <v>23</v>
      </c>
      <c r="H63" s="362" t="s">
        <v>77</v>
      </c>
      <c r="I63" s="362">
        <v>1399</v>
      </c>
      <c r="J63" s="362" t="s">
        <v>25</v>
      </c>
      <c r="K63" s="413">
        <v>1</v>
      </c>
      <c r="L63" s="370"/>
      <c r="M63" s="366" t="s">
        <v>33</v>
      </c>
      <c r="N63" s="370"/>
      <c r="O63" s="367"/>
      <c r="P63" s="367"/>
    </row>
    <row r="64" spans="1:16" s="287" customFormat="1" ht="50.45" customHeight="1">
      <c r="A64" s="362">
        <v>58</v>
      </c>
      <c r="B64" s="363" t="s">
        <v>75</v>
      </c>
      <c r="C64" s="363" t="s">
        <v>647</v>
      </c>
      <c r="D64" s="362" t="s">
        <v>31</v>
      </c>
      <c r="E64" s="335" t="s">
        <v>32</v>
      </c>
      <c r="F64" s="364">
        <v>393936</v>
      </c>
      <c r="G64" s="362" t="s">
        <v>23</v>
      </c>
      <c r="H64" s="362" t="s">
        <v>77</v>
      </c>
      <c r="I64" s="362">
        <v>1399</v>
      </c>
      <c r="J64" s="362" t="s">
        <v>25</v>
      </c>
      <c r="K64" s="365">
        <v>1</v>
      </c>
      <c r="L64" s="370"/>
      <c r="M64" s="366" t="s">
        <v>33</v>
      </c>
      <c r="N64" s="370"/>
      <c r="O64" s="367"/>
      <c r="P64" s="367" t="s">
        <v>17</v>
      </c>
    </row>
    <row r="65" spans="1:16" s="287" customFormat="1" ht="75">
      <c r="A65" s="362">
        <v>59</v>
      </c>
      <c r="B65" s="363" t="s">
        <v>75</v>
      </c>
      <c r="C65" s="363"/>
      <c r="D65" s="362" t="s">
        <v>31</v>
      </c>
      <c r="E65" s="335" t="s">
        <v>239</v>
      </c>
      <c r="F65" s="364">
        <f>3*500000</f>
        <v>1500000</v>
      </c>
      <c r="G65" s="362" t="s">
        <v>23</v>
      </c>
      <c r="H65" s="362" t="s">
        <v>77</v>
      </c>
      <c r="I65" s="362">
        <v>1399</v>
      </c>
      <c r="J65" s="362" t="s">
        <v>25</v>
      </c>
      <c r="K65" s="365" t="s">
        <v>17</v>
      </c>
      <c r="L65" s="362" t="s">
        <v>72</v>
      </c>
      <c r="M65" s="385" t="s">
        <v>17</v>
      </c>
      <c r="N65" s="370" t="s">
        <v>333</v>
      </c>
      <c r="O65" s="393" t="s">
        <v>648</v>
      </c>
      <c r="P65" s="367"/>
    </row>
    <row r="66" spans="1:16" s="287" customFormat="1" ht="105" customHeight="1">
      <c r="A66" s="362">
        <v>60</v>
      </c>
      <c r="B66" s="363" t="s">
        <v>75</v>
      </c>
      <c r="C66" s="363" t="s">
        <v>647</v>
      </c>
      <c r="D66" s="362" t="s">
        <v>31</v>
      </c>
      <c r="E66" s="335" t="s">
        <v>38</v>
      </c>
      <c r="F66" s="364">
        <v>163800</v>
      </c>
      <c r="G66" s="362" t="s">
        <v>23</v>
      </c>
      <c r="H66" s="362" t="s">
        <v>77</v>
      </c>
      <c r="I66" s="362">
        <v>1399</v>
      </c>
      <c r="J66" s="362" t="s">
        <v>25</v>
      </c>
      <c r="K66" s="365">
        <v>1</v>
      </c>
      <c r="L66" s="370"/>
      <c r="M66" s="366" t="s">
        <v>33</v>
      </c>
      <c r="N66" s="370"/>
      <c r="O66" s="367"/>
      <c r="P66" s="367" t="s">
        <v>17</v>
      </c>
    </row>
    <row r="67" spans="1:16" s="785" customFormat="1" ht="67.150000000000006" customHeight="1">
      <c r="A67" s="362">
        <v>61</v>
      </c>
      <c r="B67" s="581" t="s">
        <v>75</v>
      </c>
      <c r="C67" s="581" t="s">
        <v>647</v>
      </c>
      <c r="D67" s="362" t="s">
        <v>31</v>
      </c>
      <c r="E67" s="335" t="s">
        <v>483</v>
      </c>
      <c r="F67" s="364">
        <v>270000</v>
      </c>
      <c r="G67" s="362" t="s">
        <v>23</v>
      </c>
      <c r="H67" s="362" t="s">
        <v>77</v>
      </c>
      <c r="I67" s="362">
        <v>1399</v>
      </c>
      <c r="J67" s="362" t="s">
        <v>25</v>
      </c>
      <c r="K67" s="365">
        <v>1</v>
      </c>
      <c r="L67" s="370"/>
      <c r="M67" s="366" t="s">
        <v>646</v>
      </c>
      <c r="N67" s="370"/>
      <c r="O67" s="782"/>
      <c r="P67" s="782"/>
    </row>
    <row r="68" spans="1:16" ht="97.15" customHeight="1">
      <c r="A68" s="362">
        <v>62</v>
      </c>
      <c r="B68" s="363" t="s">
        <v>75</v>
      </c>
      <c r="C68" s="363" t="s">
        <v>645</v>
      </c>
      <c r="D68" s="367" t="s">
        <v>76</v>
      </c>
      <c r="E68" s="335" t="s">
        <v>644</v>
      </c>
      <c r="F68" s="391">
        <v>180984854</v>
      </c>
      <c r="G68" s="362" t="s">
        <v>23</v>
      </c>
      <c r="H68" s="362" t="s">
        <v>77</v>
      </c>
      <c r="I68" s="362">
        <v>1399</v>
      </c>
      <c r="J68" s="362"/>
      <c r="K68" s="365">
        <v>0.95</v>
      </c>
      <c r="L68" s="362" t="s">
        <v>17</v>
      </c>
      <c r="M68" s="362" t="s">
        <v>78</v>
      </c>
      <c r="N68" s="362"/>
      <c r="O68" s="388"/>
      <c r="P68" s="388" t="s">
        <v>1865</v>
      </c>
    </row>
    <row r="69" spans="1:16" s="284" customFormat="1" ht="70.900000000000006" customHeight="1">
      <c r="A69" s="362">
        <v>63</v>
      </c>
      <c r="B69" s="363" t="s">
        <v>75</v>
      </c>
      <c r="C69" s="363" t="s">
        <v>1207</v>
      </c>
      <c r="D69" s="362" t="s">
        <v>1076</v>
      </c>
      <c r="E69" s="335" t="s">
        <v>1208</v>
      </c>
      <c r="F69" s="364">
        <v>520800000</v>
      </c>
      <c r="G69" s="362" t="s">
        <v>23</v>
      </c>
      <c r="H69" s="362" t="s">
        <v>77</v>
      </c>
      <c r="I69" s="362">
        <v>1401</v>
      </c>
      <c r="J69" s="362" t="s">
        <v>68</v>
      </c>
      <c r="K69" s="365" t="s">
        <v>17</v>
      </c>
      <c r="L69" s="505" t="s">
        <v>72</v>
      </c>
      <c r="M69" s="366"/>
      <c r="N69" s="362" t="s">
        <v>1841</v>
      </c>
      <c r="O69" s="506"/>
      <c r="P69" s="507" t="s">
        <v>1209</v>
      </c>
    </row>
    <row r="70" spans="1:16" s="284" customFormat="1" ht="69.599999999999994" customHeight="1">
      <c r="A70" s="362">
        <v>64</v>
      </c>
      <c r="B70" s="363" t="s">
        <v>75</v>
      </c>
      <c r="C70" s="363" t="s">
        <v>1210</v>
      </c>
      <c r="D70" s="362" t="s">
        <v>556</v>
      </c>
      <c r="E70" s="335" t="s">
        <v>1211</v>
      </c>
      <c r="F70" s="364">
        <v>261000</v>
      </c>
      <c r="G70" s="362" t="s">
        <v>23</v>
      </c>
      <c r="H70" s="362" t="s">
        <v>77</v>
      </c>
      <c r="I70" s="362">
        <v>1399</v>
      </c>
      <c r="J70" s="362" t="s">
        <v>25</v>
      </c>
      <c r="K70" s="365">
        <v>1</v>
      </c>
      <c r="L70" s="508"/>
      <c r="M70" s="366" t="s">
        <v>71</v>
      </c>
      <c r="N70" s="505"/>
      <c r="O70" s="509"/>
      <c r="P70" s="860"/>
    </row>
    <row r="71" spans="1:16" s="284" customFormat="1" ht="68.25" customHeight="1">
      <c r="A71" s="362">
        <v>65</v>
      </c>
      <c r="B71" s="363" t="s">
        <v>75</v>
      </c>
      <c r="C71" s="363" t="s">
        <v>1011</v>
      </c>
      <c r="D71" s="362" t="s">
        <v>556</v>
      </c>
      <c r="E71" s="335" t="s">
        <v>1212</v>
      </c>
      <c r="F71" s="364">
        <v>296780</v>
      </c>
      <c r="G71" s="362" t="s">
        <v>23</v>
      </c>
      <c r="H71" s="362" t="s">
        <v>77</v>
      </c>
      <c r="I71" s="362">
        <v>1399</v>
      </c>
      <c r="J71" s="362" t="s">
        <v>25</v>
      </c>
      <c r="K71" s="365">
        <v>1</v>
      </c>
      <c r="L71" s="508"/>
      <c r="M71" s="366" t="s">
        <v>71</v>
      </c>
      <c r="N71" s="505"/>
      <c r="O71" s="509"/>
      <c r="P71" s="861"/>
    </row>
    <row r="72" spans="1:16" s="284" customFormat="1" ht="145.9" customHeight="1">
      <c r="A72" s="362">
        <v>66</v>
      </c>
      <c r="B72" s="363" t="s">
        <v>75</v>
      </c>
      <c r="C72" s="363" t="s">
        <v>1213</v>
      </c>
      <c r="D72" s="362" t="s">
        <v>1214</v>
      </c>
      <c r="E72" s="510" t="s">
        <v>1215</v>
      </c>
      <c r="F72" s="364">
        <v>30000000</v>
      </c>
      <c r="G72" s="362" t="s">
        <v>23</v>
      </c>
      <c r="H72" s="362" t="s">
        <v>77</v>
      </c>
      <c r="I72" s="362">
        <v>1399</v>
      </c>
      <c r="J72" s="362" t="s">
        <v>25</v>
      </c>
      <c r="K72" s="365">
        <v>1</v>
      </c>
      <c r="L72" s="508"/>
      <c r="M72" s="366" t="s">
        <v>71</v>
      </c>
      <c r="N72" s="505"/>
      <c r="O72" s="509"/>
      <c r="P72" s="507" t="s">
        <v>2140</v>
      </c>
    </row>
    <row r="73" spans="1:16" s="284" customFormat="1" ht="57.6" customHeight="1">
      <c r="A73" s="362">
        <v>67</v>
      </c>
      <c r="B73" s="363" t="s">
        <v>75</v>
      </c>
      <c r="C73" s="363" t="s">
        <v>1216</v>
      </c>
      <c r="D73" s="378" t="s">
        <v>1217</v>
      </c>
      <c r="E73" s="511" t="s">
        <v>1218</v>
      </c>
      <c r="F73" s="30">
        <v>4572000</v>
      </c>
      <c r="G73" s="362" t="s">
        <v>23</v>
      </c>
      <c r="H73" s="362" t="s">
        <v>77</v>
      </c>
      <c r="I73" s="362">
        <v>1399</v>
      </c>
      <c r="J73" s="362" t="s">
        <v>25</v>
      </c>
      <c r="K73" s="365">
        <v>1</v>
      </c>
      <c r="L73" s="508"/>
      <c r="M73" s="366" t="s">
        <v>33</v>
      </c>
      <c r="N73" s="505"/>
      <c r="O73" s="509"/>
      <c r="P73" s="507"/>
    </row>
    <row r="74" spans="1:16" s="284" customFormat="1" ht="56.25">
      <c r="A74" s="362">
        <v>68</v>
      </c>
      <c r="B74" s="363" t="s">
        <v>75</v>
      </c>
      <c r="C74" s="363" t="s">
        <v>1219</v>
      </c>
      <c r="D74" s="378" t="s">
        <v>1217</v>
      </c>
      <c r="E74" s="511" t="s">
        <v>1220</v>
      </c>
      <c r="F74" s="364">
        <v>58700</v>
      </c>
      <c r="G74" s="362" t="s">
        <v>23</v>
      </c>
      <c r="H74" s="362" t="s">
        <v>77</v>
      </c>
      <c r="I74" s="362">
        <v>1399</v>
      </c>
      <c r="J74" s="362" t="s">
        <v>25</v>
      </c>
      <c r="K74" s="365">
        <v>1</v>
      </c>
      <c r="L74" s="508"/>
      <c r="M74" s="366" t="s">
        <v>33</v>
      </c>
      <c r="N74" s="505"/>
      <c r="O74" s="509"/>
      <c r="P74" s="507"/>
    </row>
    <row r="75" spans="1:16" s="284" customFormat="1" ht="46.15" customHeight="1">
      <c r="A75" s="362">
        <v>69</v>
      </c>
      <c r="B75" s="363" t="s">
        <v>75</v>
      </c>
      <c r="C75" s="363" t="s">
        <v>1221</v>
      </c>
      <c r="D75" s="378" t="s">
        <v>1217</v>
      </c>
      <c r="E75" s="511" t="s">
        <v>525</v>
      </c>
      <c r="F75" s="30">
        <v>1579680</v>
      </c>
      <c r="G75" s="388" t="s">
        <v>23</v>
      </c>
      <c r="H75" s="388" t="s">
        <v>77</v>
      </c>
      <c r="I75" s="388">
        <v>1399</v>
      </c>
      <c r="J75" s="388" t="s">
        <v>25</v>
      </c>
      <c r="K75" s="365">
        <v>1</v>
      </c>
      <c r="L75" s="508"/>
      <c r="M75" s="366" t="s">
        <v>33</v>
      </c>
      <c r="N75" s="505"/>
      <c r="O75" s="509"/>
      <c r="P75" s="507"/>
    </row>
    <row r="76" spans="1:16" s="284" customFormat="1" ht="48.6" customHeight="1">
      <c r="A76" s="362">
        <v>70</v>
      </c>
      <c r="B76" s="363" t="s">
        <v>75</v>
      </c>
      <c r="C76" s="363" t="s">
        <v>1222</v>
      </c>
      <c r="D76" s="378" t="s">
        <v>1217</v>
      </c>
      <c r="E76" s="511" t="s">
        <v>1223</v>
      </c>
      <c r="F76" s="30">
        <v>1979700</v>
      </c>
      <c r="G76" s="388" t="s">
        <v>23</v>
      </c>
      <c r="H76" s="388" t="s">
        <v>77</v>
      </c>
      <c r="I76" s="388">
        <v>1399</v>
      </c>
      <c r="J76" s="388" t="s">
        <v>25</v>
      </c>
      <c r="K76" s="365">
        <v>1</v>
      </c>
      <c r="L76" s="508"/>
      <c r="M76" s="366" t="s">
        <v>33</v>
      </c>
      <c r="N76" s="505"/>
      <c r="O76" s="509"/>
      <c r="P76" s="507"/>
    </row>
    <row r="77" spans="1:16" s="284" customFormat="1" ht="48.6" customHeight="1">
      <c r="A77" s="362">
        <v>71</v>
      </c>
      <c r="B77" s="363" t="s">
        <v>75</v>
      </c>
      <c r="C77" s="363" t="s">
        <v>1224</v>
      </c>
      <c r="D77" s="378" t="s">
        <v>1217</v>
      </c>
      <c r="E77" s="511" t="s">
        <v>1225</v>
      </c>
      <c r="F77" s="30">
        <v>5202900</v>
      </c>
      <c r="G77" s="388" t="s">
        <v>23</v>
      </c>
      <c r="H77" s="388" t="s">
        <v>77</v>
      </c>
      <c r="I77" s="388">
        <v>1399</v>
      </c>
      <c r="J77" s="388" t="s">
        <v>25</v>
      </c>
      <c r="K77" s="365" t="s">
        <v>17</v>
      </c>
      <c r="L77" s="508" t="s">
        <v>580</v>
      </c>
      <c r="M77" s="366" t="s">
        <v>17</v>
      </c>
      <c r="N77" s="362" t="s">
        <v>1961</v>
      </c>
      <c r="O77" s="506" t="s">
        <v>1833</v>
      </c>
      <c r="P77" s="507"/>
    </row>
    <row r="78" spans="1:16" s="284" customFormat="1" ht="51.6" customHeight="1">
      <c r="A78" s="362">
        <v>72</v>
      </c>
      <c r="B78" s="363" t="s">
        <v>75</v>
      </c>
      <c r="C78" s="363" t="s">
        <v>1226</v>
      </c>
      <c r="D78" s="378" t="s">
        <v>1217</v>
      </c>
      <c r="E78" s="511" t="s">
        <v>1227</v>
      </c>
      <c r="F78" s="30">
        <v>464120</v>
      </c>
      <c r="G78" s="388" t="s">
        <v>23</v>
      </c>
      <c r="H78" s="388" t="s">
        <v>77</v>
      </c>
      <c r="I78" s="388">
        <v>1399</v>
      </c>
      <c r="J78" s="388" t="s">
        <v>25</v>
      </c>
      <c r="K78" s="365">
        <v>1</v>
      </c>
      <c r="L78" s="508"/>
      <c r="M78" s="366" t="s">
        <v>33</v>
      </c>
      <c r="N78" s="505"/>
      <c r="O78" s="509"/>
      <c r="P78" s="507"/>
    </row>
    <row r="79" spans="1:16" s="284" customFormat="1" ht="51.6" customHeight="1">
      <c r="A79" s="362">
        <v>73</v>
      </c>
      <c r="B79" s="363" t="s">
        <v>75</v>
      </c>
      <c r="C79" s="363" t="s">
        <v>1226</v>
      </c>
      <c r="D79" s="378" t="s">
        <v>1217</v>
      </c>
      <c r="E79" s="511" t="s">
        <v>1228</v>
      </c>
      <c r="F79" s="30">
        <v>1122000</v>
      </c>
      <c r="G79" s="388" t="s">
        <v>23</v>
      </c>
      <c r="H79" s="388" t="s">
        <v>77</v>
      </c>
      <c r="I79" s="388">
        <v>1399</v>
      </c>
      <c r="J79" s="388" t="s">
        <v>25</v>
      </c>
      <c r="K79" s="365">
        <v>1</v>
      </c>
      <c r="L79" s="508"/>
      <c r="M79" s="366" t="s">
        <v>33</v>
      </c>
      <c r="N79" s="505"/>
      <c r="O79" s="509"/>
      <c r="P79" s="39" t="s">
        <v>1008</v>
      </c>
    </row>
    <row r="80" spans="1:16" s="284" customFormat="1" ht="50.45" customHeight="1">
      <c r="A80" s="362">
        <v>74</v>
      </c>
      <c r="B80" s="363" t="s">
        <v>75</v>
      </c>
      <c r="C80" s="363" t="s">
        <v>1226</v>
      </c>
      <c r="D80" s="378" t="s">
        <v>1217</v>
      </c>
      <c r="E80" s="511" t="s">
        <v>1229</v>
      </c>
      <c r="F80" s="30">
        <v>1273850</v>
      </c>
      <c r="G80" s="388" t="s">
        <v>23</v>
      </c>
      <c r="H80" s="388" t="s">
        <v>77</v>
      </c>
      <c r="I80" s="388">
        <v>1399</v>
      </c>
      <c r="J80" s="388" t="s">
        <v>25</v>
      </c>
      <c r="K80" s="365">
        <v>1</v>
      </c>
      <c r="L80" s="508"/>
      <c r="M80" s="366" t="s">
        <v>33</v>
      </c>
      <c r="N80" s="505"/>
      <c r="O80" s="509"/>
      <c r="P80" s="507"/>
    </row>
    <row r="81" spans="1:16" s="284" customFormat="1" ht="56.25">
      <c r="A81" s="362">
        <v>75</v>
      </c>
      <c r="B81" s="363" t="s">
        <v>75</v>
      </c>
      <c r="C81" s="363" t="s">
        <v>1226</v>
      </c>
      <c r="D81" s="378" t="s">
        <v>1217</v>
      </c>
      <c r="E81" s="511" t="s">
        <v>1230</v>
      </c>
      <c r="F81" s="30">
        <v>3685600</v>
      </c>
      <c r="G81" s="388" t="s">
        <v>23</v>
      </c>
      <c r="H81" s="388" t="s">
        <v>77</v>
      </c>
      <c r="I81" s="388">
        <v>1399</v>
      </c>
      <c r="J81" s="388" t="s">
        <v>25</v>
      </c>
      <c r="K81" s="365">
        <v>1</v>
      </c>
      <c r="L81" s="508"/>
      <c r="M81" s="366" t="s">
        <v>33</v>
      </c>
      <c r="N81" s="505"/>
      <c r="O81" s="509"/>
      <c r="P81" s="507"/>
    </row>
    <row r="82" spans="1:16" s="284" customFormat="1" ht="112.5">
      <c r="A82" s="362">
        <v>76</v>
      </c>
      <c r="B82" s="363" t="s">
        <v>75</v>
      </c>
      <c r="C82" s="363" t="s">
        <v>1231</v>
      </c>
      <c r="D82" s="378" t="s">
        <v>1217</v>
      </c>
      <c r="E82" s="511" t="s">
        <v>1232</v>
      </c>
      <c r="F82" s="30">
        <v>1326724</v>
      </c>
      <c r="G82" s="388" t="s">
        <v>23</v>
      </c>
      <c r="H82" s="388" t="s">
        <v>77</v>
      </c>
      <c r="I82" s="388">
        <v>1399</v>
      </c>
      <c r="J82" s="388" t="s">
        <v>25</v>
      </c>
      <c r="K82" s="365">
        <v>1</v>
      </c>
      <c r="L82" s="508"/>
      <c r="M82" s="366" t="s">
        <v>33</v>
      </c>
      <c r="N82" s="505"/>
      <c r="O82" s="509"/>
      <c r="P82" s="507"/>
    </row>
    <row r="83" spans="1:16" s="284" customFormat="1" ht="52.15" customHeight="1">
      <c r="A83" s="362">
        <v>77</v>
      </c>
      <c r="B83" s="363" t="s">
        <v>75</v>
      </c>
      <c r="C83" s="412" t="s">
        <v>1233</v>
      </c>
      <c r="D83" s="388" t="s">
        <v>643</v>
      </c>
      <c r="E83" s="386" t="s">
        <v>1234</v>
      </c>
      <c r="F83" s="30">
        <v>1969644</v>
      </c>
      <c r="G83" s="718" t="s">
        <v>23</v>
      </c>
      <c r="H83" s="718" t="s">
        <v>393</v>
      </c>
      <c r="I83" s="718">
        <v>1399</v>
      </c>
      <c r="J83" s="718" t="s">
        <v>25</v>
      </c>
      <c r="K83" s="106">
        <v>1</v>
      </c>
      <c r="L83" s="512"/>
      <c r="M83" s="39" t="s">
        <v>71</v>
      </c>
      <c r="N83" s="663"/>
      <c r="O83" s="663"/>
      <c r="P83" s="390" t="s">
        <v>17</v>
      </c>
    </row>
    <row r="84" spans="1:16" s="284" customFormat="1" ht="56.45" customHeight="1">
      <c r="A84" s="362">
        <v>78</v>
      </c>
      <c r="B84" s="363" t="s">
        <v>75</v>
      </c>
      <c r="C84" s="412" t="s">
        <v>1235</v>
      </c>
      <c r="D84" s="388" t="s">
        <v>643</v>
      </c>
      <c r="E84" s="386" t="s">
        <v>1236</v>
      </c>
      <c r="F84" s="387">
        <v>85712500</v>
      </c>
      <c r="G84" s="388" t="s">
        <v>23</v>
      </c>
      <c r="H84" s="388" t="s">
        <v>393</v>
      </c>
      <c r="I84" s="388">
        <v>1399</v>
      </c>
      <c r="J84" s="388" t="s">
        <v>25</v>
      </c>
      <c r="K84" s="106">
        <v>1</v>
      </c>
      <c r="L84" s="512"/>
      <c r="M84" s="39" t="s">
        <v>71</v>
      </c>
      <c r="N84" s="663"/>
      <c r="O84" s="663"/>
      <c r="P84" s="390"/>
    </row>
    <row r="85" spans="1:16" s="284" customFormat="1" ht="75.75" customHeight="1">
      <c r="A85" s="362">
        <v>79</v>
      </c>
      <c r="B85" s="363" t="s">
        <v>75</v>
      </c>
      <c r="C85" s="412" t="s">
        <v>1237</v>
      </c>
      <c r="D85" s="388" t="s">
        <v>643</v>
      </c>
      <c r="E85" s="386" t="s">
        <v>1238</v>
      </c>
      <c r="F85" s="387">
        <v>38205487</v>
      </c>
      <c r="G85" s="388" t="s">
        <v>23</v>
      </c>
      <c r="H85" s="388" t="s">
        <v>393</v>
      </c>
      <c r="I85" s="388">
        <v>1399</v>
      </c>
      <c r="J85" s="388" t="s">
        <v>25</v>
      </c>
      <c r="K85" s="106">
        <v>1</v>
      </c>
      <c r="L85" s="512"/>
      <c r="M85" s="39" t="s">
        <v>71</v>
      </c>
      <c r="N85" s="663"/>
      <c r="O85" s="663"/>
      <c r="P85" s="390"/>
    </row>
    <row r="86" spans="1:16" ht="131.25">
      <c r="A86" s="362">
        <v>80</v>
      </c>
      <c r="B86" s="363" t="s">
        <v>75</v>
      </c>
      <c r="C86" s="412" t="s">
        <v>1239</v>
      </c>
      <c r="D86" s="390" t="s">
        <v>643</v>
      </c>
      <c r="E86" s="386" t="s">
        <v>1240</v>
      </c>
      <c r="F86" s="47">
        <v>4424000</v>
      </c>
      <c r="G86" s="388" t="s">
        <v>23</v>
      </c>
      <c r="H86" s="388" t="s">
        <v>393</v>
      </c>
      <c r="I86" s="388">
        <v>1399</v>
      </c>
      <c r="J86" s="388" t="s">
        <v>25</v>
      </c>
      <c r="K86" s="745">
        <v>1</v>
      </c>
      <c r="L86" s="388"/>
      <c r="M86" s="388" t="s">
        <v>71</v>
      </c>
      <c r="N86" s="388"/>
      <c r="O86" s="388" t="s">
        <v>17</v>
      </c>
      <c r="P86" s="388"/>
    </row>
    <row r="87" spans="1:16" s="284" customFormat="1" ht="64.900000000000006" customHeight="1">
      <c r="A87" s="362">
        <v>81</v>
      </c>
      <c r="B87" s="363" t="s">
        <v>75</v>
      </c>
      <c r="C87" s="412"/>
      <c r="D87" s="388" t="s">
        <v>643</v>
      </c>
      <c r="E87" s="386" t="s">
        <v>1241</v>
      </c>
      <c r="F87" s="387">
        <v>17402000</v>
      </c>
      <c r="G87" s="388" t="s">
        <v>23</v>
      </c>
      <c r="H87" s="388" t="s">
        <v>393</v>
      </c>
      <c r="I87" s="388">
        <v>1399</v>
      </c>
      <c r="J87" s="388" t="s">
        <v>25</v>
      </c>
      <c r="K87" s="413" t="s">
        <v>17</v>
      </c>
      <c r="L87" s="746" t="s">
        <v>3</v>
      </c>
      <c r="M87" s="389"/>
      <c r="N87" s="663" t="s">
        <v>1242</v>
      </c>
      <c r="O87" s="679" t="s">
        <v>1243</v>
      </c>
      <c r="P87" s="390"/>
    </row>
    <row r="88" spans="1:16" s="284" customFormat="1" ht="47.45" customHeight="1">
      <c r="A88" s="362">
        <v>82</v>
      </c>
      <c r="B88" s="363" t="s">
        <v>75</v>
      </c>
      <c r="C88" s="412"/>
      <c r="D88" s="388" t="s">
        <v>643</v>
      </c>
      <c r="E88" s="386" t="s">
        <v>502</v>
      </c>
      <c r="F88" s="387">
        <v>1540000</v>
      </c>
      <c r="G88" s="388" t="s">
        <v>23</v>
      </c>
      <c r="H88" s="388" t="s">
        <v>393</v>
      </c>
      <c r="I88" s="388">
        <v>1400</v>
      </c>
      <c r="J88" s="388" t="s">
        <v>25</v>
      </c>
      <c r="K88" s="413" t="s">
        <v>17</v>
      </c>
      <c r="L88" s="746" t="s">
        <v>3</v>
      </c>
      <c r="M88" s="389"/>
      <c r="N88" s="663" t="s">
        <v>1242</v>
      </c>
      <c r="O88" s="679" t="s">
        <v>216</v>
      </c>
      <c r="P88" s="390"/>
    </row>
    <row r="89" spans="1:16" s="284" customFormat="1" ht="68.45" customHeight="1">
      <c r="A89" s="362">
        <v>83</v>
      </c>
      <c r="B89" s="363" t="s">
        <v>75</v>
      </c>
      <c r="C89" s="412"/>
      <c r="D89" s="388" t="s">
        <v>643</v>
      </c>
      <c r="E89" s="386" t="s">
        <v>501</v>
      </c>
      <c r="F89" s="387">
        <v>1540000</v>
      </c>
      <c r="G89" s="388" t="s">
        <v>23</v>
      </c>
      <c r="H89" s="388" t="s">
        <v>393</v>
      </c>
      <c r="I89" s="388">
        <v>1400</v>
      </c>
      <c r="J89" s="388" t="s">
        <v>25</v>
      </c>
      <c r="K89" s="413" t="s">
        <v>17</v>
      </c>
      <c r="L89" s="390" t="s">
        <v>72</v>
      </c>
      <c r="M89" s="389"/>
      <c r="N89" s="663" t="s">
        <v>333</v>
      </c>
      <c r="O89" s="679" t="s">
        <v>216</v>
      </c>
      <c r="P89" s="390"/>
    </row>
    <row r="90" spans="1:16" s="284" customFormat="1" ht="54.6" customHeight="1">
      <c r="A90" s="362">
        <v>84</v>
      </c>
      <c r="B90" s="363" t="s">
        <v>75</v>
      </c>
      <c r="C90" s="412"/>
      <c r="D90" s="388" t="s">
        <v>643</v>
      </c>
      <c r="E90" s="386" t="s">
        <v>400</v>
      </c>
      <c r="F90" s="862" t="s">
        <v>399</v>
      </c>
      <c r="G90" s="388" t="s">
        <v>23</v>
      </c>
      <c r="H90" s="388" t="s">
        <v>393</v>
      </c>
      <c r="I90" s="388">
        <v>1399</v>
      </c>
      <c r="J90" s="388" t="s">
        <v>25</v>
      </c>
      <c r="K90" s="413">
        <v>0.05</v>
      </c>
      <c r="L90" s="390"/>
      <c r="M90" s="389" t="s">
        <v>39</v>
      </c>
      <c r="N90" s="663"/>
      <c r="O90" s="388"/>
      <c r="P90" s="863" t="s">
        <v>1962</v>
      </c>
    </row>
    <row r="91" spans="1:16" s="284" customFormat="1" ht="64.150000000000006" customHeight="1">
      <c r="A91" s="362">
        <v>85</v>
      </c>
      <c r="B91" s="363" t="s">
        <v>75</v>
      </c>
      <c r="C91" s="412"/>
      <c r="D91" s="388" t="s">
        <v>643</v>
      </c>
      <c r="E91" s="386" t="s">
        <v>398</v>
      </c>
      <c r="F91" s="862"/>
      <c r="G91" s="388" t="s">
        <v>23</v>
      </c>
      <c r="H91" s="388" t="s">
        <v>393</v>
      </c>
      <c r="I91" s="388">
        <v>1399</v>
      </c>
      <c r="J91" s="388" t="s">
        <v>25</v>
      </c>
      <c r="K91" s="413">
        <v>0.05</v>
      </c>
      <c r="L91" s="390"/>
      <c r="M91" s="389" t="s">
        <v>39</v>
      </c>
      <c r="N91" s="663"/>
      <c r="O91" s="388"/>
      <c r="P91" s="864"/>
    </row>
    <row r="92" spans="1:16" s="284" customFormat="1" ht="67.5" customHeight="1">
      <c r="A92" s="362">
        <v>86</v>
      </c>
      <c r="B92" s="363" t="s">
        <v>75</v>
      </c>
      <c r="C92" s="412"/>
      <c r="D92" s="388" t="s">
        <v>643</v>
      </c>
      <c r="E92" s="386" t="s">
        <v>397</v>
      </c>
      <c r="F92" s="862"/>
      <c r="G92" s="388" t="s">
        <v>23</v>
      </c>
      <c r="H92" s="388" t="s">
        <v>393</v>
      </c>
      <c r="I92" s="388">
        <v>1399</v>
      </c>
      <c r="J92" s="388" t="s">
        <v>25</v>
      </c>
      <c r="K92" s="413">
        <v>0.05</v>
      </c>
      <c r="L92" s="390"/>
      <c r="M92" s="389" t="s">
        <v>39</v>
      </c>
      <c r="N92" s="663"/>
      <c r="O92" s="388"/>
      <c r="P92" s="667" t="s">
        <v>1962</v>
      </c>
    </row>
    <row r="93" spans="1:16" s="284" customFormat="1" ht="64.900000000000006" customHeight="1">
      <c r="A93" s="362">
        <v>87</v>
      </c>
      <c r="B93" s="363" t="s">
        <v>75</v>
      </c>
      <c r="C93" s="412"/>
      <c r="D93" s="388" t="s">
        <v>643</v>
      </c>
      <c r="E93" s="386" t="s">
        <v>396</v>
      </c>
      <c r="F93" s="862"/>
      <c r="G93" s="388" t="s">
        <v>23</v>
      </c>
      <c r="H93" s="388" t="s">
        <v>393</v>
      </c>
      <c r="I93" s="388">
        <v>1399</v>
      </c>
      <c r="J93" s="388" t="s">
        <v>25</v>
      </c>
      <c r="K93" s="413">
        <v>0.05</v>
      </c>
      <c r="L93" s="390"/>
      <c r="M93" s="389" t="s">
        <v>39</v>
      </c>
      <c r="N93" s="663"/>
      <c r="O93" s="388"/>
      <c r="P93" s="667" t="s">
        <v>1962</v>
      </c>
    </row>
    <row r="94" spans="1:16" s="284" customFormat="1" ht="72" customHeight="1">
      <c r="A94" s="362">
        <v>88</v>
      </c>
      <c r="B94" s="363" t="s">
        <v>75</v>
      </c>
      <c r="C94" s="412"/>
      <c r="D94" s="388" t="s">
        <v>643</v>
      </c>
      <c r="E94" s="386" t="s">
        <v>395</v>
      </c>
      <c r="F94" s="862"/>
      <c r="G94" s="388" t="s">
        <v>23</v>
      </c>
      <c r="H94" s="388" t="s">
        <v>393</v>
      </c>
      <c r="I94" s="388">
        <v>1399</v>
      </c>
      <c r="J94" s="388" t="s">
        <v>25</v>
      </c>
      <c r="K94" s="413">
        <v>0.05</v>
      </c>
      <c r="L94" s="390"/>
      <c r="M94" s="389" t="s">
        <v>39</v>
      </c>
      <c r="N94" s="663"/>
      <c r="O94" s="388"/>
      <c r="P94" s="667" t="s">
        <v>1962</v>
      </c>
    </row>
    <row r="95" spans="1:16" s="284" customFormat="1" ht="95.25" customHeight="1">
      <c r="A95" s="362">
        <v>89</v>
      </c>
      <c r="B95" s="363" t="s">
        <v>75</v>
      </c>
      <c r="C95" s="412"/>
      <c r="D95" s="388" t="s">
        <v>643</v>
      </c>
      <c r="E95" s="386" t="s">
        <v>394</v>
      </c>
      <c r="F95" s="862"/>
      <c r="G95" s="388" t="s">
        <v>23</v>
      </c>
      <c r="H95" s="388" t="s">
        <v>393</v>
      </c>
      <c r="I95" s="388">
        <v>1399</v>
      </c>
      <c r="J95" s="388" t="s">
        <v>25</v>
      </c>
      <c r="K95" s="413">
        <v>0.05</v>
      </c>
      <c r="L95" s="390"/>
      <c r="M95" s="389" t="s">
        <v>39</v>
      </c>
      <c r="N95" s="663"/>
      <c r="O95" s="388"/>
      <c r="P95" s="667" t="s">
        <v>1962</v>
      </c>
    </row>
    <row r="96" spans="1:16" s="284" customFormat="1" ht="75" customHeight="1">
      <c r="A96" s="362">
        <v>90</v>
      </c>
      <c r="B96" s="363" t="s">
        <v>75</v>
      </c>
      <c r="C96" s="412" t="s">
        <v>1262</v>
      </c>
      <c r="D96" s="388" t="s">
        <v>57</v>
      </c>
      <c r="E96" s="386" t="s">
        <v>1263</v>
      </c>
      <c r="F96" s="747">
        <v>5634120</v>
      </c>
      <c r="G96" s="388" t="s">
        <v>23</v>
      </c>
      <c r="H96" s="412" t="s">
        <v>58</v>
      </c>
      <c r="I96" s="388">
        <v>1399</v>
      </c>
      <c r="J96" s="412" t="s">
        <v>58</v>
      </c>
      <c r="K96" s="413">
        <v>0</v>
      </c>
      <c r="L96" s="664"/>
      <c r="M96" s="389" t="s">
        <v>1264</v>
      </c>
      <c r="N96" s="748" t="s">
        <v>17</v>
      </c>
      <c r="O96" s="663"/>
      <c r="P96" s="390" t="s">
        <v>17</v>
      </c>
    </row>
    <row r="97" spans="1:19" s="284" customFormat="1" ht="75">
      <c r="A97" s="362">
        <v>91</v>
      </c>
      <c r="B97" s="363" t="s">
        <v>75</v>
      </c>
      <c r="C97" s="412" t="s">
        <v>1245</v>
      </c>
      <c r="D97" s="388" t="s">
        <v>57</v>
      </c>
      <c r="E97" s="386" t="s">
        <v>1246</v>
      </c>
      <c r="F97" s="387">
        <v>4672320</v>
      </c>
      <c r="G97" s="388" t="s">
        <v>23</v>
      </c>
      <c r="H97" s="412" t="s">
        <v>58</v>
      </c>
      <c r="I97" s="388">
        <v>1399</v>
      </c>
      <c r="J97" s="412" t="s">
        <v>58</v>
      </c>
      <c r="K97" s="413">
        <v>0</v>
      </c>
      <c r="L97" s="664"/>
      <c r="M97" s="389" t="s">
        <v>1026</v>
      </c>
      <c r="N97" s="663"/>
      <c r="O97" s="663"/>
      <c r="P97" s="390"/>
    </row>
    <row r="98" spans="1:19" s="284" customFormat="1" ht="75">
      <c r="A98" s="362">
        <v>92</v>
      </c>
      <c r="B98" s="363" t="s">
        <v>75</v>
      </c>
      <c r="C98" s="412" t="s">
        <v>1245</v>
      </c>
      <c r="D98" s="388" t="s">
        <v>57</v>
      </c>
      <c r="E98" s="386" t="s">
        <v>1247</v>
      </c>
      <c r="F98" s="387">
        <v>8630400</v>
      </c>
      <c r="G98" s="388" t="s">
        <v>23</v>
      </c>
      <c r="H98" s="412" t="s">
        <v>58</v>
      </c>
      <c r="I98" s="388">
        <v>1399</v>
      </c>
      <c r="J98" s="412" t="s">
        <v>58</v>
      </c>
      <c r="K98" s="413">
        <v>0</v>
      </c>
      <c r="L98" s="664"/>
      <c r="M98" s="389" t="s">
        <v>1026</v>
      </c>
      <c r="N98" s="663"/>
      <c r="O98" s="663"/>
      <c r="P98" s="390"/>
    </row>
    <row r="99" spans="1:19" s="284" customFormat="1" ht="75">
      <c r="A99" s="362">
        <v>93</v>
      </c>
      <c r="B99" s="363" t="s">
        <v>75</v>
      </c>
      <c r="C99" s="412" t="s">
        <v>1245</v>
      </c>
      <c r="D99" s="388" t="s">
        <v>57</v>
      </c>
      <c r="E99" s="386" t="s">
        <v>1248</v>
      </c>
      <c r="F99" s="387">
        <v>4653274</v>
      </c>
      <c r="G99" s="388" t="s">
        <v>23</v>
      </c>
      <c r="H99" s="412" t="s">
        <v>58</v>
      </c>
      <c r="I99" s="388">
        <v>1399</v>
      </c>
      <c r="J99" s="412" t="s">
        <v>58</v>
      </c>
      <c r="K99" s="413">
        <v>0</v>
      </c>
      <c r="L99" s="664"/>
      <c r="M99" s="389" t="s">
        <v>1026</v>
      </c>
      <c r="N99" s="663"/>
      <c r="O99" s="663"/>
      <c r="P99" s="390"/>
    </row>
    <row r="100" spans="1:19" s="284" customFormat="1" ht="66.75" customHeight="1">
      <c r="A100" s="362">
        <v>94</v>
      </c>
      <c r="B100" s="363" t="s">
        <v>75</v>
      </c>
      <c r="C100" s="412" t="s">
        <v>1245</v>
      </c>
      <c r="D100" s="388" t="s">
        <v>57</v>
      </c>
      <c r="E100" s="386" t="s">
        <v>1249</v>
      </c>
      <c r="F100" s="387">
        <v>3898560</v>
      </c>
      <c r="G100" s="388" t="s">
        <v>23</v>
      </c>
      <c r="H100" s="412" t="s">
        <v>58</v>
      </c>
      <c r="I100" s="388">
        <v>1399</v>
      </c>
      <c r="J100" s="412" t="s">
        <v>58</v>
      </c>
      <c r="K100" s="413">
        <v>0</v>
      </c>
      <c r="L100" s="664"/>
      <c r="M100" s="389" t="s">
        <v>1026</v>
      </c>
      <c r="N100" s="663"/>
      <c r="O100" s="663"/>
      <c r="P100" s="390"/>
    </row>
    <row r="101" spans="1:19" s="284" customFormat="1" ht="54" customHeight="1">
      <c r="A101" s="362">
        <v>95</v>
      </c>
      <c r="B101" s="363" t="s">
        <v>75</v>
      </c>
      <c r="C101" s="412" t="s">
        <v>1245</v>
      </c>
      <c r="D101" s="388" t="s">
        <v>57</v>
      </c>
      <c r="E101" s="386" t="s">
        <v>1250</v>
      </c>
      <c r="F101" s="387">
        <v>5964757</v>
      </c>
      <c r="G101" s="388" t="s">
        <v>23</v>
      </c>
      <c r="H101" s="412" t="s">
        <v>58</v>
      </c>
      <c r="I101" s="388">
        <v>1399</v>
      </c>
      <c r="J101" s="412" t="s">
        <v>58</v>
      </c>
      <c r="K101" s="413">
        <v>1</v>
      </c>
      <c r="L101" s="664"/>
      <c r="M101" s="389" t="s">
        <v>71</v>
      </c>
      <c r="N101" s="663"/>
      <c r="O101" s="663"/>
      <c r="P101" s="390"/>
    </row>
    <row r="102" spans="1:19" s="284" customFormat="1" ht="75">
      <c r="A102" s="362">
        <v>96</v>
      </c>
      <c r="B102" s="363" t="s">
        <v>75</v>
      </c>
      <c r="C102" s="865" t="s">
        <v>1251</v>
      </c>
      <c r="D102" s="388" t="s">
        <v>57</v>
      </c>
      <c r="E102" s="386" t="s">
        <v>1252</v>
      </c>
      <c r="F102" s="387">
        <v>247901</v>
      </c>
      <c r="G102" s="388" t="s">
        <v>23</v>
      </c>
      <c r="H102" s="412" t="s">
        <v>58</v>
      </c>
      <c r="I102" s="388">
        <v>1399</v>
      </c>
      <c r="J102" s="412" t="s">
        <v>58</v>
      </c>
      <c r="K102" s="413">
        <v>1</v>
      </c>
      <c r="L102" s="664"/>
      <c r="M102" s="389" t="s">
        <v>71</v>
      </c>
      <c r="N102" s="663"/>
      <c r="O102" s="663"/>
      <c r="P102" s="390" t="s">
        <v>17</v>
      </c>
    </row>
    <row r="103" spans="1:19" s="284" customFormat="1" ht="75">
      <c r="A103" s="362">
        <v>97</v>
      </c>
      <c r="B103" s="363" t="s">
        <v>75</v>
      </c>
      <c r="C103" s="865"/>
      <c r="D103" s="388" t="s">
        <v>57</v>
      </c>
      <c r="E103" s="386" t="s">
        <v>1253</v>
      </c>
      <c r="F103" s="387">
        <v>77079254.063999996</v>
      </c>
      <c r="G103" s="388" t="s">
        <v>23</v>
      </c>
      <c r="H103" s="412" t="s">
        <v>58</v>
      </c>
      <c r="I103" s="388">
        <v>1399</v>
      </c>
      <c r="J103" s="412" t="s">
        <v>58</v>
      </c>
      <c r="K103" s="413">
        <v>1</v>
      </c>
      <c r="L103" s="663"/>
      <c r="M103" s="389" t="s">
        <v>71</v>
      </c>
      <c r="N103" s="663"/>
      <c r="O103" s="663"/>
      <c r="P103" s="390"/>
    </row>
    <row r="104" spans="1:19" s="284" customFormat="1" ht="72" customHeight="1">
      <c r="A104" s="362">
        <v>98</v>
      </c>
      <c r="B104" s="363" t="s">
        <v>75</v>
      </c>
      <c r="C104" s="865"/>
      <c r="D104" s="388" t="s">
        <v>57</v>
      </c>
      <c r="E104" s="386" t="s">
        <v>1254</v>
      </c>
      <c r="F104" s="387">
        <v>744000</v>
      </c>
      <c r="G104" s="388" t="s">
        <v>23</v>
      </c>
      <c r="H104" s="412" t="s">
        <v>58</v>
      </c>
      <c r="I104" s="388">
        <v>1399</v>
      </c>
      <c r="J104" s="412" t="s">
        <v>58</v>
      </c>
      <c r="K104" s="413">
        <v>1</v>
      </c>
      <c r="L104" s="663"/>
      <c r="M104" s="389" t="s">
        <v>71</v>
      </c>
      <c r="N104" s="663"/>
      <c r="O104" s="663"/>
      <c r="P104" s="390"/>
    </row>
    <row r="105" spans="1:19" s="284" customFormat="1" ht="75">
      <c r="A105" s="362">
        <v>99</v>
      </c>
      <c r="B105" s="363" t="s">
        <v>75</v>
      </c>
      <c r="C105" s="857" t="s">
        <v>1255</v>
      </c>
      <c r="D105" s="388" t="s">
        <v>57</v>
      </c>
      <c r="E105" s="386" t="s">
        <v>1172</v>
      </c>
      <c r="F105" s="387">
        <v>10627050</v>
      </c>
      <c r="G105" s="388" t="s">
        <v>23</v>
      </c>
      <c r="H105" s="412" t="s">
        <v>58</v>
      </c>
      <c r="I105" s="388">
        <v>1399</v>
      </c>
      <c r="J105" s="412" t="s">
        <v>58</v>
      </c>
      <c r="K105" s="413">
        <v>1</v>
      </c>
      <c r="L105" s="664"/>
      <c r="M105" s="389" t="s">
        <v>71</v>
      </c>
      <c r="N105" s="663"/>
      <c r="O105" s="663"/>
      <c r="P105" s="390" t="s">
        <v>17</v>
      </c>
    </row>
    <row r="106" spans="1:19" s="284" customFormat="1" ht="75">
      <c r="A106" s="362">
        <v>100</v>
      </c>
      <c r="B106" s="363" t="s">
        <v>75</v>
      </c>
      <c r="C106" s="858"/>
      <c r="D106" s="388" t="s">
        <v>57</v>
      </c>
      <c r="E106" s="749" t="s">
        <v>1256</v>
      </c>
      <c r="F106" s="387">
        <v>30348500</v>
      </c>
      <c r="G106" s="388" t="s">
        <v>23</v>
      </c>
      <c r="H106" s="412" t="s">
        <v>58</v>
      </c>
      <c r="I106" s="388">
        <v>1399</v>
      </c>
      <c r="J106" s="412" t="s">
        <v>58</v>
      </c>
      <c r="K106" s="413">
        <v>0.05</v>
      </c>
      <c r="L106" s="664"/>
      <c r="M106" s="389" t="s">
        <v>39</v>
      </c>
      <c r="N106" s="663"/>
      <c r="O106" s="663"/>
      <c r="P106" s="390"/>
    </row>
    <row r="107" spans="1:19" s="284" customFormat="1" ht="75" customHeight="1">
      <c r="A107" s="362">
        <v>101</v>
      </c>
      <c r="B107" s="363" t="s">
        <v>75</v>
      </c>
      <c r="C107" s="858"/>
      <c r="D107" s="388" t="s">
        <v>57</v>
      </c>
      <c r="E107" s="749" t="s">
        <v>1258</v>
      </c>
      <c r="F107" s="387">
        <v>8640000</v>
      </c>
      <c r="G107" s="388" t="s">
        <v>23</v>
      </c>
      <c r="H107" s="412" t="s">
        <v>58</v>
      </c>
      <c r="I107" s="388">
        <v>1399</v>
      </c>
      <c r="J107" s="412" t="s">
        <v>58</v>
      </c>
      <c r="K107" s="413" t="s">
        <v>17</v>
      </c>
      <c r="L107" s="663" t="s">
        <v>35</v>
      </c>
      <c r="M107" s="664"/>
      <c r="N107" s="388" t="s">
        <v>1963</v>
      </c>
      <c r="O107" s="388" t="s">
        <v>1964</v>
      </c>
      <c r="P107" s="390"/>
    </row>
    <row r="108" spans="1:19" s="284" customFormat="1" ht="67.150000000000006" customHeight="1">
      <c r="A108" s="362">
        <v>102</v>
      </c>
      <c r="B108" s="363" t="s">
        <v>75</v>
      </c>
      <c r="C108" s="858"/>
      <c r="D108" s="388" t="s">
        <v>57</v>
      </c>
      <c r="E108" s="749" t="s">
        <v>1259</v>
      </c>
      <c r="F108" s="387">
        <v>2300630</v>
      </c>
      <c r="G108" s="388" t="s">
        <v>23</v>
      </c>
      <c r="H108" s="412" t="s">
        <v>58</v>
      </c>
      <c r="I108" s="388">
        <v>1399</v>
      </c>
      <c r="J108" s="412" t="s">
        <v>58</v>
      </c>
      <c r="K108" s="413">
        <v>1</v>
      </c>
      <c r="L108" s="664"/>
      <c r="M108" s="389" t="s">
        <v>71</v>
      </c>
      <c r="N108" s="663"/>
      <c r="O108" s="663"/>
      <c r="P108" s="390"/>
    </row>
    <row r="109" spans="1:19" s="284" customFormat="1" ht="75">
      <c r="A109" s="362">
        <v>103</v>
      </c>
      <c r="B109" s="363" t="s">
        <v>75</v>
      </c>
      <c r="C109" s="858"/>
      <c r="D109" s="388" t="s">
        <v>57</v>
      </c>
      <c r="E109" s="386" t="s">
        <v>1260</v>
      </c>
      <c r="F109" s="387">
        <v>967200.00000000012</v>
      </c>
      <c r="G109" s="388" t="s">
        <v>23</v>
      </c>
      <c r="H109" s="412" t="s">
        <v>58</v>
      </c>
      <c r="I109" s="388">
        <v>1399</v>
      </c>
      <c r="J109" s="412" t="s">
        <v>58</v>
      </c>
      <c r="K109" s="413">
        <v>1</v>
      </c>
      <c r="L109" s="664"/>
      <c r="M109" s="389" t="s">
        <v>71</v>
      </c>
      <c r="N109" s="663"/>
      <c r="O109" s="388" t="s">
        <v>17</v>
      </c>
      <c r="P109" s="390" t="s">
        <v>17</v>
      </c>
    </row>
    <row r="110" spans="1:19" s="284" customFormat="1" ht="75">
      <c r="A110" s="362">
        <v>104</v>
      </c>
      <c r="B110" s="363" t="s">
        <v>75</v>
      </c>
      <c r="C110" s="858"/>
      <c r="D110" s="388" t="s">
        <v>57</v>
      </c>
      <c r="E110" s="749" t="s">
        <v>1261</v>
      </c>
      <c r="F110" s="387">
        <v>334800</v>
      </c>
      <c r="G110" s="388" t="s">
        <v>23</v>
      </c>
      <c r="H110" s="412" t="s">
        <v>58</v>
      </c>
      <c r="I110" s="388">
        <v>1399</v>
      </c>
      <c r="J110" s="412" t="s">
        <v>58</v>
      </c>
      <c r="K110" s="413">
        <v>1</v>
      </c>
      <c r="L110" s="664"/>
      <c r="M110" s="389" t="s">
        <v>71</v>
      </c>
      <c r="N110" s="663"/>
      <c r="O110" s="663"/>
      <c r="P110" s="390"/>
    </row>
    <row r="111" spans="1:19" s="284" customFormat="1" ht="75">
      <c r="A111" s="362">
        <v>105</v>
      </c>
      <c r="B111" s="363" t="s">
        <v>75</v>
      </c>
      <c r="C111" s="858"/>
      <c r="D111" s="388" t="s">
        <v>57</v>
      </c>
      <c r="E111" s="749" t="s">
        <v>1088</v>
      </c>
      <c r="F111" s="387">
        <v>911400.00000000012</v>
      </c>
      <c r="G111" s="388" t="s">
        <v>23</v>
      </c>
      <c r="H111" s="412" t="s">
        <v>58</v>
      </c>
      <c r="I111" s="388">
        <v>1399</v>
      </c>
      <c r="J111" s="412" t="s">
        <v>58</v>
      </c>
      <c r="K111" s="413">
        <v>1</v>
      </c>
      <c r="L111" s="664"/>
      <c r="M111" s="389" t="s">
        <v>71</v>
      </c>
      <c r="N111" s="663"/>
      <c r="O111" s="388"/>
      <c r="P111" s="390"/>
    </row>
    <row r="112" spans="1:19" ht="84" customHeight="1">
      <c r="A112" s="362">
        <v>106</v>
      </c>
      <c r="B112" s="363" t="s">
        <v>75</v>
      </c>
      <c r="C112" s="858"/>
      <c r="D112" s="388" t="s">
        <v>57</v>
      </c>
      <c r="E112" s="749" t="s">
        <v>1089</v>
      </c>
      <c r="F112" s="387">
        <v>8975244</v>
      </c>
      <c r="G112" s="388" t="s">
        <v>23</v>
      </c>
      <c r="H112" s="412" t="s">
        <v>58</v>
      </c>
      <c r="I112" s="388">
        <v>1399</v>
      </c>
      <c r="J112" s="412" t="s">
        <v>58</v>
      </c>
      <c r="K112" s="413">
        <v>1</v>
      </c>
      <c r="L112" s="663"/>
      <c r="M112" s="389" t="s">
        <v>71</v>
      </c>
      <c r="N112" s="663"/>
      <c r="O112" s="663"/>
      <c r="P112" s="390"/>
      <c r="Q112" s="477"/>
      <c r="R112" s="513"/>
      <c r="S112" s="513"/>
    </row>
    <row r="113" spans="1:19" ht="59.25" customHeight="1">
      <c r="A113" s="362">
        <v>107</v>
      </c>
      <c r="B113" s="363" t="s">
        <v>75</v>
      </c>
      <c r="C113" s="412" t="s">
        <v>1265</v>
      </c>
      <c r="D113" s="388" t="s">
        <v>59</v>
      </c>
      <c r="E113" s="386" t="s">
        <v>1266</v>
      </c>
      <c r="F113" s="747">
        <v>1450391</v>
      </c>
      <c r="G113" s="388" t="s">
        <v>23</v>
      </c>
      <c r="H113" s="412" t="s">
        <v>58</v>
      </c>
      <c r="I113" s="388">
        <v>1399</v>
      </c>
      <c r="J113" s="412" t="s">
        <v>58</v>
      </c>
      <c r="K113" s="413">
        <v>0.05</v>
      </c>
      <c r="L113" s="664"/>
      <c r="M113" s="750" t="s">
        <v>39</v>
      </c>
      <c r="N113" s="663"/>
      <c r="O113" s="663"/>
      <c r="P113" s="746"/>
      <c r="Q113" s="477"/>
      <c r="R113" s="513"/>
      <c r="S113" s="513"/>
    </row>
    <row r="114" spans="1:19" ht="59.25" customHeight="1">
      <c r="A114" s="362">
        <v>108</v>
      </c>
      <c r="B114" s="363" t="s">
        <v>75</v>
      </c>
      <c r="C114" s="412" t="s">
        <v>1265</v>
      </c>
      <c r="D114" s="388" t="s">
        <v>59</v>
      </c>
      <c r="E114" s="386" t="s">
        <v>1267</v>
      </c>
      <c r="F114" s="747">
        <v>8142036</v>
      </c>
      <c r="G114" s="388" t="s">
        <v>23</v>
      </c>
      <c r="H114" s="412" t="s">
        <v>58</v>
      </c>
      <c r="I114" s="388">
        <v>1399</v>
      </c>
      <c r="J114" s="412" t="s">
        <v>58</v>
      </c>
      <c r="K114" s="413">
        <v>0.05</v>
      </c>
      <c r="L114" s="664"/>
      <c r="M114" s="750" t="s">
        <v>39</v>
      </c>
      <c r="N114" s="663"/>
      <c r="O114" s="663"/>
      <c r="P114" s="746"/>
      <c r="Q114" s="477"/>
      <c r="R114" s="513"/>
      <c r="S114" s="513"/>
    </row>
    <row r="115" spans="1:19" ht="53.25" customHeight="1">
      <c r="A115" s="362">
        <v>109</v>
      </c>
      <c r="B115" s="363" t="s">
        <v>75</v>
      </c>
      <c r="C115" s="857" t="s">
        <v>1268</v>
      </c>
      <c r="D115" s="388" t="s">
        <v>59</v>
      </c>
      <c r="E115" s="751" t="s">
        <v>431</v>
      </c>
      <c r="F115" s="662">
        <v>267821</v>
      </c>
      <c r="G115" s="388" t="s">
        <v>23</v>
      </c>
      <c r="H115" s="412" t="s">
        <v>58</v>
      </c>
      <c r="I115" s="388">
        <v>1399</v>
      </c>
      <c r="J115" s="412" t="s">
        <v>58</v>
      </c>
      <c r="K115" s="413"/>
      <c r="L115" s="664" t="s">
        <v>35</v>
      </c>
      <c r="M115" s="483"/>
      <c r="N115" s="389" t="s">
        <v>1965</v>
      </c>
      <c r="O115" s="388" t="s">
        <v>1964</v>
      </c>
      <c r="P115" s="390"/>
      <c r="Q115" s="472"/>
      <c r="R115" s="513"/>
      <c r="S115" s="513"/>
    </row>
    <row r="116" spans="1:19" ht="56.25">
      <c r="A116" s="362">
        <v>110</v>
      </c>
      <c r="B116" s="363" t="s">
        <v>75</v>
      </c>
      <c r="C116" s="858"/>
      <c r="D116" s="388" t="s">
        <v>59</v>
      </c>
      <c r="E116" s="751" t="s">
        <v>430</v>
      </c>
      <c r="F116" s="662">
        <v>18919</v>
      </c>
      <c r="G116" s="388" t="s">
        <v>23</v>
      </c>
      <c r="H116" s="412" t="s">
        <v>58</v>
      </c>
      <c r="I116" s="388">
        <v>1399</v>
      </c>
      <c r="J116" s="412" t="s">
        <v>58</v>
      </c>
      <c r="K116" s="413"/>
      <c r="L116" s="664" t="s">
        <v>35</v>
      </c>
      <c r="M116" s="389"/>
      <c r="N116" s="389" t="s">
        <v>1938</v>
      </c>
      <c r="O116" s="388" t="s">
        <v>1964</v>
      </c>
      <c r="P116" s="390"/>
      <c r="Q116" s="472"/>
      <c r="R116" s="513"/>
      <c r="S116" s="513"/>
    </row>
    <row r="117" spans="1:19" ht="42" customHeight="1">
      <c r="A117" s="362">
        <v>111</v>
      </c>
      <c r="B117" s="363" t="s">
        <v>75</v>
      </c>
      <c r="C117" s="858"/>
      <c r="D117" s="388" t="s">
        <v>59</v>
      </c>
      <c r="E117" s="751" t="s">
        <v>1269</v>
      </c>
      <c r="F117" s="662">
        <v>23955</v>
      </c>
      <c r="G117" s="388" t="s">
        <v>23</v>
      </c>
      <c r="H117" s="412" t="s">
        <v>58</v>
      </c>
      <c r="I117" s="388">
        <v>1399</v>
      </c>
      <c r="J117" s="412" t="s">
        <v>58</v>
      </c>
      <c r="K117" s="413"/>
      <c r="L117" s="664" t="s">
        <v>35</v>
      </c>
      <c r="M117" s="389"/>
      <c r="N117" s="389" t="s">
        <v>1938</v>
      </c>
      <c r="O117" s="388" t="s">
        <v>1964</v>
      </c>
      <c r="P117" s="390"/>
      <c r="Q117" s="472"/>
      <c r="R117" s="513"/>
      <c r="S117" s="513"/>
    </row>
    <row r="118" spans="1:19" ht="69.75" customHeight="1">
      <c r="A118" s="362">
        <v>112</v>
      </c>
      <c r="B118" s="363" t="s">
        <v>75</v>
      </c>
      <c r="C118" s="858"/>
      <c r="D118" s="388" t="s">
        <v>59</v>
      </c>
      <c r="E118" s="751" t="s">
        <v>60</v>
      </c>
      <c r="F118" s="662">
        <v>138600</v>
      </c>
      <c r="G118" s="388" t="s">
        <v>23</v>
      </c>
      <c r="H118" s="412" t="s">
        <v>58</v>
      </c>
      <c r="I118" s="388">
        <v>1399</v>
      </c>
      <c r="J118" s="412" t="s">
        <v>58</v>
      </c>
      <c r="K118" s="413">
        <v>1</v>
      </c>
      <c r="L118" s="664"/>
      <c r="M118" s="389" t="s">
        <v>71</v>
      </c>
      <c r="N118" s="663"/>
      <c r="O118" s="663"/>
      <c r="P118" s="390"/>
      <c r="Q118" s="472"/>
      <c r="R118" s="513"/>
      <c r="S118" s="513"/>
    </row>
    <row r="119" spans="1:19" ht="56.25">
      <c r="A119" s="362">
        <v>113</v>
      </c>
      <c r="B119" s="363" t="s">
        <v>75</v>
      </c>
      <c r="C119" s="858"/>
      <c r="D119" s="388" t="s">
        <v>59</v>
      </c>
      <c r="E119" s="752" t="s">
        <v>61</v>
      </c>
      <c r="F119" s="662">
        <v>18480</v>
      </c>
      <c r="G119" s="388" t="s">
        <v>23</v>
      </c>
      <c r="H119" s="412" t="s">
        <v>58</v>
      </c>
      <c r="I119" s="388">
        <v>1399</v>
      </c>
      <c r="J119" s="412" t="s">
        <v>58</v>
      </c>
      <c r="K119" s="413"/>
      <c r="L119" s="664" t="s">
        <v>35</v>
      </c>
      <c r="M119" s="389"/>
      <c r="N119" s="389" t="s">
        <v>1938</v>
      </c>
      <c r="O119" s="388" t="s">
        <v>1964</v>
      </c>
      <c r="P119" s="390"/>
      <c r="Q119" s="514"/>
      <c r="R119" s="513"/>
      <c r="S119" s="513"/>
    </row>
    <row r="120" spans="1:19" ht="56.25">
      <c r="A120" s="362">
        <v>114</v>
      </c>
      <c r="B120" s="363" t="s">
        <v>75</v>
      </c>
      <c r="C120" s="858"/>
      <c r="D120" s="388" t="s">
        <v>59</v>
      </c>
      <c r="E120" s="679" t="s">
        <v>1270</v>
      </c>
      <c r="F120" s="662">
        <v>468000</v>
      </c>
      <c r="G120" s="388" t="s">
        <v>23</v>
      </c>
      <c r="H120" s="412" t="s">
        <v>58</v>
      </c>
      <c r="I120" s="388">
        <v>1399</v>
      </c>
      <c r="J120" s="412" t="s">
        <v>58</v>
      </c>
      <c r="K120" s="413"/>
      <c r="L120" s="664" t="s">
        <v>35</v>
      </c>
      <c r="M120" s="389"/>
      <c r="N120" s="389" t="s">
        <v>1938</v>
      </c>
      <c r="O120" s="388" t="s">
        <v>1964</v>
      </c>
      <c r="P120" s="390"/>
      <c r="Q120" s="514"/>
      <c r="R120" s="513"/>
      <c r="S120" s="513"/>
    </row>
    <row r="121" spans="1:19" ht="56.25">
      <c r="A121" s="362">
        <v>115</v>
      </c>
      <c r="B121" s="363" t="s">
        <v>75</v>
      </c>
      <c r="C121" s="858"/>
      <c r="D121" s="388" t="s">
        <v>59</v>
      </c>
      <c r="E121" s="386" t="s">
        <v>1187</v>
      </c>
      <c r="F121" s="662">
        <v>470501</v>
      </c>
      <c r="G121" s="388" t="s">
        <v>23</v>
      </c>
      <c r="H121" s="412" t="s">
        <v>58</v>
      </c>
      <c r="I121" s="388">
        <v>1399</v>
      </c>
      <c r="J121" s="412" t="s">
        <v>58</v>
      </c>
      <c r="K121" s="413"/>
      <c r="L121" s="664" t="s">
        <v>35</v>
      </c>
      <c r="M121" s="389"/>
      <c r="N121" s="389" t="s">
        <v>1938</v>
      </c>
      <c r="O121" s="388" t="s">
        <v>1964</v>
      </c>
      <c r="P121" s="390"/>
      <c r="Q121" s="471"/>
      <c r="R121" s="513"/>
      <c r="S121" s="513"/>
    </row>
    <row r="122" spans="1:19" ht="56.25">
      <c r="A122" s="362">
        <v>116</v>
      </c>
      <c r="B122" s="363" t="s">
        <v>75</v>
      </c>
      <c r="C122" s="858"/>
      <c r="D122" s="388" t="s">
        <v>59</v>
      </c>
      <c r="E122" s="386" t="s">
        <v>428</v>
      </c>
      <c r="F122" s="662">
        <v>133980</v>
      </c>
      <c r="G122" s="388" t="s">
        <v>23</v>
      </c>
      <c r="H122" s="412" t="s">
        <v>58</v>
      </c>
      <c r="I122" s="388">
        <v>1399</v>
      </c>
      <c r="J122" s="412" t="s">
        <v>58</v>
      </c>
      <c r="K122" s="413"/>
      <c r="L122" s="664" t="s">
        <v>35</v>
      </c>
      <c r="M122" s="389"/>
      <c r="N122" s="389" t="s">
        <v>1938</v>
      </c>
      <c r="O122" s="388" t="s">
        <v>1964</v>
      </c>
      <c r="P122" s="390"/>
      <c r="Q122" s="471"/>
      <c r="R122" s="513"/>
      <c r="S122" s="513"/>
    </row>
    <row r="123" spans="1:19" ht="56.25">
      <c r="A123" s="362">
        <v>117</v>
      </c>
      <c r="B123" s="363" t="s">
        <v>75</v>
      </c>
      <c r="C123" s="858"/>
      <c r="D123" s="388" t="s">
        <v>59</v>
      </c>
      <c r="E123" s="386" t="s">
        <v>427</v>
      </c>
      <c r="F123" s="662">
        <v>5084</v>
      </c>
      <c r="G123" s="388" t="s">
        <v>23</v>
      </c>
      <c r="H123" s="412" t="s">
        <v>58</v>
      </c>
      <c r="I123" s="388">
        <v>1399</v>
      </c>
      <c r="J123" s="412" t="s">
        <v>58</v>
      </c>
      <c r="K123" s="413"/>
      <c r="L123" s="664" t="s">
        <v>35</v>
      </c>
      <c r="M123" s="389"/>
      <c r="N123" s="389" t="s">
        <v>1938</v>
      </c>
      <c r="O123" s="388" t="s">
        <v>1964</v>
      </c>
      <c r="P123" s="390"/>
      <c r="Q123" s="471"/>
      <c r="R123" s="513"/>
      <c r="S123" s="513"/>
    </row>
    <row r="124" spans="1:19" ht="56.25">
      <c r="A124" s="362">
        <v>118</v>
      </c>
      <c r="B124" s="363" t="s">
        <v>75</v>
      </c>
      <c r="C124" s="858"/>
      <c r="D124" s="388" t="s">
        <v>59</v>
      </c>
      <c r="E124" s="386" t="s">
        <v>426</v>
      </c>
      <c r="F124" s="662">
        <v>4620</v>
      </c>
      <c r="G124" s="388" t="s">
        <v>23</v>
      </c>
      <c r="H124" s="412" t="s">
        <v>58</v>
      </c>
      <c r="I124" s="388">
        <v>1399</v>
      </c>
      <c r="J124" s="412" t="s">
        <v>58</v>
      </c>
      <c r="K124" s="413"/>
      <c r="L124" s="664" t="s">
        <v>35</v>
      </c>
      <c r="M124" s="389"/>
      <c r="N124" s="389" t="s">
        <v>1938</v>
      </c>
      <c r="O124" s="388" t="s">
        <v>1964</v>
      </c>
      <c r="P124" s="390"/>
      <c r="Q124" s="471"/>
      <c r="R124" s="513"/>
      <c r="S124" s="513"/>
    </row>
    <row r="125" spans="1:19" ht="56.25">
      <c r="A125" s="362">
        <v>119</v>
      </c>
      <c r="B125" s="363" t="s">
        <v>75</v>
      </c>
      <c r="C125" s="858"/>
      <c r="D125" s="388" t="s">
        <v>59</v>
      </c>
      <c r="E125" s="386" t="s">
        <v>425</v>
      </c>
      <c r="F125" s="662">
        <v>1109188</v>
      </c>
      <c r="G125" s="388" t="s">
        <v>23</v>
      </c>
      <c r="H125" s="412" t="s">
        <v>58</v>
      </c>
      <c r="I125" s="388">
        <v>1399</v>
      </c>
      <c r="J125" s="412" t="s">
        <v>58</v>
      </c>
      <c r="K125" s="413">
        <v>1</v>
      </c>
      <c r="L125" s="663"/>
      <c r="M125" s="389" t="s">
        <v>71</v>
      </c>
      <c r="N125" s="753"/>
      <c r="O125" s="753"/>
      <c r="P125" s="390"/>
      <c r="Q125" s="471"/>
      <c r="R125" s="513"/>
      <c r="S125" s="513"/>
    </row>
    <row r="126" spans="1:19" ht="56.25">
      <c r="A126" s="362">
        <v>120</v>
      </c>
      <c r="B126" s="363" t="s">
        <v>75</v>
      </c>
      <c r="C126" s="858"/>
      <c r="D126" s="388" t="s">
        <v>59</v>
      </c>
      <c r="E126" s="386" t="s">
        <v>1272</v>
      </c>
      <c r="F126" s="662">
        <v>3407647</v>
      </c>
      <c r="G126" s="388" t="s">
        <v>23</v>
      </c>
      <c r="H126" s="412" t="s">
        <v>58</v>
      </c>
      <c r="I126" s="388">
        <v>1399</v>
      </c>
      <c r="J126" s="412" t="s">
        <v>58</v>
      </c>
      <c r="K126" s="413" t="s">
        <v>35</v>
      </c>
      <c r="L126" s="664"/>
      <c r="M126" s="389"/>
      <c r="N126" s="389" t="s">
        <v>1938</v>
      </c>
      <c r="O126" s="388" t="s">
        <v>1964</v>
      </c>
      <c r="P126" s="390"/>
      <c r="Q126" s="471"/>
      <c r="R126" s="513"/>
      <c r="S126" s="513"/>
    </row>
    <row r="127" spans="1:19" ht="56.25">
      <c r="A127" s="362">
        <v>121</v>
      </c>
      <c r="B127" s="363" t="s">
        <v>75</v>
      </c>
      <c r="C127" s="858"/>
      <c r="D127" s="388" t="s">
        <v>59</v>
      </c>
      <c r="E127" s="386" t="s">
        <v>423</v>
      </c>
      <c r="F127" s="662">
        <v>369600</v>
      </c>
      <c r="G127" s="388" t="s">
        <v>23</v>
      </c>
      <c r="H127" s="412" t="s">
        <v>58</v>
      </c>
      <c r="I127" s="388">
        <v>1399</v>
      </c>
      <c r="J127" s="412" t="s">
        <v>58</v>
      </c>
      <c r="K127" s="413">
        <v>1</v>
      </c>
      <c r="L127" s="664"/>
      <c r="M127" s="389" t="s">
        <v>71</v>
      </c>
      <c r="N127" s="663"/>
      <c r="O127" s="663"/>
      <c r="P127" s="390"/>
      <c r="Q127" s="471"/>
      <c r="R127" s="513"/>
      <c r="S127" s="513"/>
    </row>
    <row r="128" spans="1:19" ht="56.25">
      <c r="A128" s="362">
        <v>122</v>
      </c>
      <c r="B128" s="363" t="s">
        <v>75</v>
      </c>
      <c r="C128" s="858"/>
      <c r="D128" s="388" t="s">
        <v>59</v>
      </c>
      <c r="E128" s="386" t="s">
        <v>422</v>
      </c>
      <c r="F128" s="662">
        <v>1383727</v>
      </c>
      <c r="G128" s="388" t="s">
        <v>23</v>
      </c>
      <c r="H128" s="412" t="s">
        <v>58</v>
      </c>
      <c r="I128" s="388">
        <v>1399</v>
      </c>
      <c r="J128" s="412" t="s">
        <v>58</v>
      </c>
      <c r="K128" s="413" t="s">
        <v>17</v>
      </c>
      <c r="L128" s="663" t="s">
        <v>35</v>
      </c>
      <c r="M128" s="664"/>
      <c r="N128" s="389" t="s">
        <v>1966</v>
      </c>
      <c r="O128" s="388" t="s">
        <v>216</v>
      </c>
      <c r="P128" s="390"/>
      <c r="Q128" s="471"/>
      <c r="R128" s="513"/>
      <c r="S128" s="513"/>
    </row>
    <row r="129" spans="1:19" ht="69.75" customHeight="1">
      <c r="A129" s="362">
        <v>123</v>
      </c>
      <c r="B129" s="363" t="s">
        <v>75</v>
      </c>
      <c r="C129" s="858"/>
      <c r="D129" s="388" t="s">
        <v>59</v>
      </c>
      <c r="E129" s="386" t="s">
        <v>421</v>
      </c>
      <c r="F129" s="662">
        <v>1460290</v>
      </c>
      <c r="G129" s="388" t="s">
        <v>23</v>
      </c>
      <c r="H129" s="412" t="s">
        <v>58</v>
      </c>
      <c r="I129" s="388">
        <v>1399</v>
      </c>
      <c r="J129" s="412" t="s">
        <v>58</v>
      </c>
      <c r="K129" s="413">
        <v>1</v>
      </c>
      <c r="L129" s="664"/>
      <c r="M129" s="389" t="s">
        <v>71</v>
      </c>
      <c r="N129" s="663"/>
      <c r="O129" s="663"/>
      <c r="P129" s="390"/>
      <c r="Q129" s="471"/>
      <c r="R129" s="513"/>
      <c r="S129" s="513"/>
    </row>
    <row r="130" spans="1:19" ht="56.25">
      <c r="A130" s="362">
        <v>124</v>
      </c>
      <c r="B130" s="363" t="s">
        <v>75</v>
      </c>
      <c r="C130" s="858"/>
      <c r="D130" s="388" t="s">
        <v>59</v>
      </c>
      <c r="E130" s="386" t="s">
        <v>451</v>
      </c>
      <c r="F130" s="662">
        <v>492492</v>
      </c>
      <c r="G130" s="388" t="s">
        <v>23</v>
      </c>
      <c r="H130" s="412" t="s">
        <v>58</v>
      </c>
      <c r="I130" s="388">
        <v>1399</v>
      </c>
      <c r="J130" s="412" t="s">
        <v>58</v>
      </c>
      <c r="K130" s="413" t="s">
        <v>17</v>
      </c>
      <c r="L130" s="663" t="s">
        <v>580</v>
      </c>
      <c r="M130" s="389"/>
      <c r="N130" s="753" t="s">
        <v>1271</v>
      </c>
      <c r="O130" s="753" t="s">
        <v>216</v>
      </c>
      <c r="P130" s="390"/>
      <c r="Q130" s="471"/>
      <c r="R130" s="513"/>
      <c r="S130" s="513"/>
    </row>
    <row r="131" spans="1:19" ht="56.25">
      <c r="A131" s="362">
        <v>125</v>
      </c>
      <c r="B131" s="363" t="s">
        <v>75</v>
      </c>
      <c r="C131" s="858"/>
      <c r="D131" s="388" t="s">
        <v>59</v>
      </c>
      <c r="E131" s="386" t="s">
        <v>420</v>
      </c>
      <c r="F131" s="662">
        <v>929330</v>
      </c>
      <c r="G131" s="388" t="s">
        <v>23</v>
      </c>
      <c r="H131" s="412" t="s">
        <v>58</v>
      </c>
      <c r="I131" s="388">
        <v>1399</v>
      </c>
      <c r="J131" s="412" t="s">
        <v>58</v>
      </c>
      <c r="K131" s="413">
        <v>1</v>
      </c>
      <c r="L131" s="664"/>
      <c r="M131" s="389" t="s">
        <v>71</v>
      </c>
      <c r="N131" s="663"/>
      <c r="O131" s="663"/>
      <c r="P131" s="390"/>
      <c r="Q131" s="471"/>
      <c r="R131" s="513"/>
      <c r="S131" s="513"/>
    </row>
    <row r="132" spans="1:19" ht="50.45" customHeight="1">
      <c r="A132" s="362">
        <v>126</v>
      </c>
      <c r="B132" s="363" t="s">
        <v>75</v>
      </c>
      <c r="C132" s="858"/>
      <c r="D132" s="388" t="s">
        <v>59</v>
      </c>
      <c r="E132" s="386" t="s">
        <v>63</v>
      </c>
      <c r="F132" s="662">
        <v>1540000</v>
      </c>
      <c r="G132" s="388" t="s">
        <v>23</v>
      </c>
      <c r="H132" s="412" t="s">
        <v>58</v>
      </c>
      <c r="I132" s="388">
        <v>1399</v>
      </c>
      <c r="J132" s="412" t="s">
        <v>58</v>
      </c>
      <c r="K132" s="413" t="s">
        <v>17</v>
      </c>
      <c r="L132" s="663" t="s">
        <v>580</v>
      </c>
      <c r="M132" s="389"/>
      <c r="N132" s="753" t="s">
        <v>1271</v>
      </c>
      <c r="O132" s="753" t="s">
        <v>216</v>
      </c>
      <c r="P132" s="390"/>
      <c r="Q132" s="471"/>
      <c r="R132" s="513"/>
      <c r="S132" s="513"/>
    </row>
    <row r="133" spans="1:19" ht="56.25">
      <c r="A133" s="362">
        <v>127</v>
      </c>
      <c r="B133" s="363" t="s">
        <v>75</v>
      </c>
      <c r="C133" s="858"/>
      <c r="D133" s="388" t="s">
        <v>59</v>
      </c>
      <c r="E133" s="386" t="s">
        <v>1044</v>
      </c>
      <c r="F133" s="662">
        <v>1232000</v>
      </c>
      <c r="G133" s="388" t="s">
        <v>23</v>
      </c>
      <c r="H133" s="412" t="s">
        <v>58</v>
      </c>
      <c r="I133" s="388">
        <v>1399</v>
      </c>
      <c r="J133" s="412" t="s">
        <v>58</v>
      </c>
      <c r="K133" s="413">
        <v>1</v>
      </c>
      <c r="L133" s="664"/>
      <c r="M133" s="389" t="s">
        <v>71</v>
      </c>
      <c r="N133" s="663"/>
      <c r="O133" s="663"/>
      <c r="P133" s="390"/>
      <c r="Q133" s="471"/>
      <c r="R133" s="513"/>
      <c r="S133" s="513"/>
    </row>
    <row r="134" spans="1:19" ht="56.25">
      <c r="A134" s="362">
        <v>128</v>
      </c>
      <c r="B134" s="363" t="s">
        <v>75</v>
      </c>
      <c r="C134" s="858"/>
      <c r="D134" s="388" t="s">
        <v>59</v>
      </c>
      <c r="E134" s="386" t="s">
        <v>1273</v>
      </c>
      <c r="F134" s="662">
        <v>640640</v>
      </c>
      <c r="G134" s="388" t="s">
        <v>23</v>
      </c>
      <c r="H134" s="412" t="s">
        <v>58</v>
      </c>
      <c r="I134" s="388">
        <v>1399</v>
      </c>
      <c r="J134" s="412" t="s">
        <v>58</v>
      </c>
      <c r="K134" s="413" t="s">
        <v>17</v>
      </c>
      <c r="L134" s="664" t="s">
        <v>35</v>
      </c>
      <c r="M134" s="389"/>
      <c r="N134" s="389" t="s">
        <v>1967</v>
      </c>
      <c r="O134" s="388" t="s">
        <v>1964</v>
      </c>
      <c r="P134" s="390"/>
      <c r="Q134" s="471"/>
      <c r="R134" s="513"/>
      <c r="S134" s="513"/>
    </row>
    <row r="135" spans="1:19" ht="56.25">
      <c r="A135" s="362">
        <v>129</v>
      </c>
      <c r="B135" s="363" t="s">
        <v>75</v>
      </c>
      <c r="C135" s="858"/>
      <c r="D135" s="388" t="s">
        <v>59</v>
      </c>
      <c r="E135" s="386" t="s">
        <v>64</v>
      </c>
      <c r="F135" s="662">
        <v>2640000</v>
      </c>
      <c r="G135" s="388" t="s">
        <v>23</v>
      </c>
      <c r="H135" s="412" t="s">
        <v>58</v>
      </c>
      <c r="I135" s="388">
        <v>1399</v>
      </c>
      <c r="J135" s="412" t="s">
        <v>58</v>
      </c>
      <c r="K135" s="413" t="s">
        <v>17</v>
      </c>
      <c r="L135" s="663" t="s">
        <v>580</v>
      </c>
      <c r="M135" s="389"/>
      <c r="N135" s="753" t="s">
        <v>1271</v>
      </c>
      <c r="O135" s="388" t="s">
        <v>1964</v>
      </c>
      <c r="P135" s="390"/>
      <c r="Q135" s="471"/>
      <c r="R135" s="513"/>
      <c r="S135" s="513"/>
    </row>
    <row r="136" spans="1:19" ht="56.25">
      <c r="A136" s="362">
        <v>130</v>
      </c>
      <c r="B136" s="363" t="s">
        <v>75</v>
      </c>
      <c r="C136" s="858"/>
      <c r="D136" s="388" t="s">
        <v>59</v>
      </c>
      <c r="E136" s="386" t="s">
        <v>65</v>
      </c>
      <c r="F136" s="662">
        <v>7150000</v>
      </c>
      <c r="G136" s="388" t="s">
        <v>23</v>
      </c>
      <c r="H136" s="412" t="s">
        <v>58</v>
      </c>
      <c r="I136" s="388">
        <v>1399</v>
      </c>
      <c r="J136" s="412" t="s">
        <v>58</v>
      </c>
      <c r="K136" s="413">
        <v>1</v>
      </c>
      <c r="L136" s="664"/>
      <c r="M136" s="389" t="s">
        <v>71</v>
      </c>
      <c r="N136" s="663"/>
      <c r="O136" s="663"/>
      <c r="P136" s="390"/>
      <c r="Q136" s="471"/>
      <c r="R136" s="513"/>
      <c r="S136" s="513"/>
    </row>
    <row r="137" spans="1:19" ht="56.25">
      <c r="A137" s="362">
        <v>131</v>
      </c>
      <c r="B137" s="363" t="s">
        <v>75</v>
      </c>
      <c r="C137" s="859"/>
      <c r="D137" s="388" t="s">
        <v>59</v>
      </c>
      <c r="E137" s="386" t="s">
        <v>1032</v>
      </c>
      <c r="F137" s="662">
        <v>3850000</v>
      </c>
      <c r="G137" s="388" t="s">
        <v>23</v>
      </c>
      <c r="H137" s="412" t="s">
        <v>58</v>
      </c>
      <c r="I137" s="388">
        <v>1399</v>
      </c>
      <c r="J137" s="412" t="s">
        <v>58</v>
      </c>
      <c r="K137" s="413" t="s">
        <v>17</v>
      </c>
      <c r="L137" s="663" t="s">
        <v>580</v>
      </c>
      <c r="M137" s="389"/>
      <c r="N137" s="753" t="s">
        <v>1271</v>
      </c>
      <c r="O137" s="753" t="s">
        <v>216</v>
      </c>
      <c r="P137" s="390"/>
      <c r="Q137" s="471"/>
      <c r="R137" s="513"/>
      <c r="S137" s="513"/>
    </row>
    <row r="138" spans="1:19" s="284" customFormat="1" ht="51" customHeight="1">
      <c r="A138" s="362">
        <v>132</v>
      </c>
      <c r="B138" s="363" t="s">
        <v>75</v>
      </c>
      <c r="C138" s="363" t="s">
        <v>1274</v>
      </c>
      <c r="D138" s="464" t="s">
        <v>67</v>
      </c>
      <c r="E138" s="335" t="s">
        <v>1275</v>
      </c>
      <c r="F138" s="362"/>
      <c r="G138" s="362" t="s">
        <v>23</v>
      </c>
      <c r="H138" s="363" t="s">
        <v>58</v>
      </c>
      <c r="I138" s="362">
        <v>1401</v>
      </c>
      <c r="J138" s="362" t="s">
        <v>68</v>
      </c>
      <c r="K138" s="365"/>
      <c r="L138" s="505" t="s">
        <v>3</v>
      </c>
      <c r="M138" s="366" t="s">
        <v>17</v>
      </c>
      <c r="N138" s="366" t="s">
        <v>1276</v>
      </c>
      <c r="O138" s="506" t="s">
        <v>1277</v>
      </c>
      <c r="P138" s="464"/>
      <c r="Q138" s="515"/>
    </row>
    <row r="139" spans="1:19" ht="69" customHeight="1">
      <c r="A139" s="362">
        <v>133</v>
      </c>
      <c r="B139" s="363" t="s">
        <v>75</v>
      </c>
      <c r="C139" s="363" t="s">
        <v>645</v>
      </c>
      <c r="D139" s="464" t="s">
        <v>76</v>
      </c>
      <c r="E139" s="335" t="s">
        <v>644</v>
      </c>
      <c r="F139" s="391">
        <v>180984854</v>
      </c>
      <c r="G139" s="362" t="s">
        <v>23</v>
      </c>
      <c r="H139" s="362" t="s">
        <v>77</v>
      </c>
      <c r="I139" s="362">
        <v>1399</v>
      </c>
      <c r="J139" s="362"/>
      <c r="K139" s="392">
        <v>0.7</v>
      </c>
      <c r="L139" s="362"/>
      <c r="M139" s="362" t="s">
        <v>78</v>
      </c>
      <c r="N139" s="362"/>
      <c r="O139" s="388"/>
      <c r="P139" s="388" t="s">
        <v>17</v>
      </c>
    </row>
    <row r="140" spans="1:19" ht="56.25">
      <c r="A140" s="362">
        <v>134</v>
      </c>
      <c r="B140" s="363" t="s">
        <v>75</v>
      </c>
      <c r="C140" s="363" t="s">
        <v>1278</v>
      </c>
      <c r="D140" s="464" t="s">
        <v>59</v>
      </c>
      <c r="E140" s="335" t="s">
        <v>1279</v>
      </c>
      <c r="F140" s="391">
        <v>7875835.4000000004</v>
      </c>
      <c r="G140" s="362" t="s">
        <v>23</v>
      </c>
      <c r="H140" s="362" t="s">
        <v>58</v>
      </c>
      <c r="I140" s="362">
        <v>1399</v>
      </c>
      <c r="J140" s="362" t="s">
        <v>25</v>
      </c>
      <c r="K140" s="392">
        <v>0.56000000000000005</v>
      </c>
      <c r="L140" s="362"/>
      <c r="M140" s="362" t="s">
        <v>78</v>
      </c>
      <c r="N140" s="362"/>
      <c r="O140" s="388"/>
      <c r="P140" s="388"/>
    </row>
    <row r="141" spans="1:19" ht="50.25" customHeight="1">
      <c r="A141" s="362">
        <v>135</v>
      </c>
      <c r="B141" s="363" t="s">
        <v>75</v>
      </c>
      <c r="C141" s="285" t="s">
        <v>1280</v>
      </c>
      <c r="D141" s="516" t="s">
        <v>1281</v>
      </c>
      <c r="E141" s="335" t="s">
        <v>1282</v>
      </c>
      <c r="F141" s="662">
        <v>18000000</v>
      </c>
      <c r="G141" s="105" t="s">
        <v>1283</v>
      </c>
      <c r="H141" s="44" t="s">
        <v>77</v>
      </c>
      <c r="I141" s="105">
        <v>1399</v>
      </c>
      <c r="J141" s="105" t="s">
        <v>25</v>
      </c>
      <c r="K141" s="233">
        <v>0</v>
      </c>
      <c r="L141" s="478"/>
      <c r="M141" s="533" t="s">
        <v>1257</v>
      </c>
      <c r="N141" s="44"/>
      <c r="O141" s="44"/>
      <c r="P141" s="388" t="s">
        <v>1284</v>
      </c>
    </row>
    <row r="142" spans="1:19" ht="83.25" customHeight="1">
      <c r="A142" s="362">
        <v>136</v>
      </c>
      <c r="B142" s="363" t="s">
        <v>75</v>
      </c>
      <c r="C142" s="363" t="s">
        <v>1285</v>
      </c>
      <c r="D142" s="464" t="s">
        <v>1286</v>
      </c>
      <c r="E142" s="335" t="s">
        <v>1287</v>
      </c>
      <c r="F142" s="391">
        <v>17330159</v>
      </c>
      <c r="G142" s="362" t="s">
        <v>23</v>
      </c>
      <c r="H142" s="362"/>
      <c r="I142" s="362">
        <v>1399</v>
      </c>
      <c r="J142" s="362" t="s">
        <v>25</v>
      </c>
      <c r="K142" s="392">
        <v>1</v>
      </c>
      <c r="L142" s="362"/>
      <c r="M142" s="362" t="s">
        <v>71</v>
      </c>
      <c r="N142" s="362"/>
      <c r="O142" s="388"/>
      <c r="P142" s="388"/>
    </row>
    <row r="143" spans="1:19" ht="60" customHeight="1">
      <c r="A143" s="362">
        <v>137</v>
      </c>
      <c r="B143" s="363" t="s">
        <v>75</v>
      </c>
      <c r="C143" s="363" t="s">
        <v>642</v>
      </c>
      <c r="D143" s="464" t="s">
        <v>1288</v>
      </c>
      <c r="E143" s="335" t="s">
        <v>1289</v>
      </c>
      <c r="F143" s="391">
        <v>475600</v>
      </c>
      <c r="G143" s="362" t="s">
        <v>23</v>
      </c>
      <c r="H143" s="362" t="s">
        <v>1290</v>
      </c>
      <c r="I143" s="362">
        <v>1399</v>
      </c>
      <c r="J143" s="362" t="s">
        <v>25</v>
      </c>
      <c r="K143" s="392">
        <v>1</v>
      </c>
      <c r="L143" s="362"/>
      <c r="M143" s="362" t="s">
        <v>71</v>
      </c>
      <c r="N143" s="362"/>
      <c r="O143" s="388"/>
      <c r="P143" s="388"/>
    </row>
    <row r="144" spans="1:19" ht="52.5" customHeight="1">
      <c r="A144" s="362">
        <v>138</v>
      </c>
      <c r="B144" s="363" t="s">
        <v>75</v>
      </c>
      <c r="C144" s="363" t="s">
        <v>1291</v>
      </c>
      <c r="D144" s="464" t="s">
        <v>1292</v>
      </c>
      <c r="E144" s="335" t="s">
        <v>1293</v>
      </c>
      <c r="F144" s="391">
        <v>812288</v>
      </c>
      <c r="G144" s="362" t="s">
        <v>23</v>
      </c>
      <c r="H144" s="362" t="s">
        <v>1294</v>
      </c>
      <c r="I144" s="362">
        <v>1399</v>
      </c>
      <c r="J144" s="362" t="s">
        <v>25</v>
      </c>
      <c r="K144" s="392">
        <v>1</v>
      </c>
      <c r="L144" s="362"/>
      <c r="M144" s="362" t="s">
        <v>71</v>
      </c>
      <c r="N144" s="362"/>
      <c r="O144" s="388"/>
      <c r="P144" s="388"/>
    </row>
    <row r="145" spans="1:16" ht="51" customHeight="1">
      <c r="A145" s="362">
        <v>139</v>
      </c>
      <c r="B145" s="363" t="s">
        <v>75</v>
      </c>
      <c r="C145" s="363" t="s">
        <v>1295</v>
      </c>
      <c r="D145" s="464" t="s">
        <v>1296</v>
      </c>
      <c r="E145" s="335" t="s">
        <v>1297</v>
      </c>
      <c r="F145" s="391"/>
      <c r="G145" s="362" t="s">
        <v>23</v>
      </c>
      <c r="H145" s="362" t="s">
        <v>1298</v>
      </c>
      <c r="I145" s="362">
        <v>1399</v>
      </c>
      <c r="J145" s="362" t="s">
        <v>25</v>
      </c>
      <c r="K145" s="392">
        <v>1</v>
      </c>
      <c r="L145" s="362"/>
      <c r="M145" s="362" t="s">
        <v>71</v>
      </c>
      <c r="N145" s="362"/>
      <c r="O145" s="388"/>
      <c r="P145" s="388" t="s">
        <v>1475</v>
      </c>
    </row>
  </sheetData>
  <mergeCells count="29">
    <mergeCell ref="C115:C137"/>
    <mergeCell ref="P70:P71"/>
    <mergeCell ref="F90:F95"/>
    <mergeCell ref="P90:P91"/>
    <mergeCell ref="C102:C104"/>
    <mergeCell ref="C105:C112"/>
    <mergeCell ref="A1:P4"/>
    <mergeCell ref="A5:A6"/>
    <mergeCell ref="B5:B6"/>
    <mergeCell ref="C5:C6"/>
    <mergeCell ref="D5:D6"/>
    <mergeCell ref="E5:E6"/>
    <mergeCell ref="F5:H5"/>
    <mergeCell ref="I5:I6"/>
    <mergeCell ref="J5:J6"/>
    <mergeCell ref="K5:K6"/>
    <mergeCell ref="L5:M5"/>
    <mergeCell ref="N5:N6"/>
    <mergeCell ref="O5:O6"/>
    <mergeCell ref="P5:P6"/>
    <mergeCell ref="P23:P24"/>
    <mergeCell ref="P41:P43"/>
    <mergeCell ref="P50:P51"/>
    <mergeCell ref="P52:P54"/>
    <mergeCell ref="P27:P28"/>
    <mergeCell ref="P29:P31"/>
    <mergeCell ref="P32:P33"/>
    <mergeCell ref="P34:P36"/>
    <mergeCell ref="P38:P40"/>
  </mergeCells>
  <printOptions horizontalCentered="1"/>
  <pageMargins left="0.2" right="0.2" top="0.5" bottom="0.5" header="0.3" footer="0.3"/>
  <pageSetup paperSize="9" scale="50"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sheetPr>
    <tabColor rgb="FF92D050"/>
  </sheetPr>
  <dimension ref="A1:P54"/>
  <sheetViews>
    <sheetView rightToLeft="1" view="pageBreakPreview" zoomScale="85" zoomScaleSheetLayoutView="85" workbookViewId="0">
      <pane ySplit="6" topLeftCell="A49" activePane="bottomLeft" state="frozen"/>
      <selection pane="bottomLeft" activeCell="M55" sqref="M55"/>
    </sheetView>
  </sheetViews>
  <sheetFormatPr defaultColWidth="9.140625" defaultRowHeight="18"/>
  <cols>
    <col min="1" max="1" width="7.140625" style="202" customWidth="1"/>
    <col min="2" max="2" width="18.28515625" style="199" customWidth="1"/>
    <col min="3" max="3" width="9" style="199" customWidth="1"/>
    <col min="4" max="4" width="14.5703125" style="199" customWidth="1"/>
    <col min="5" max="5" width="33.7109375" style="199" customWidth="1"/>
    <col min="6" max="6" width="18.140625" style="199" customWidth="1"/>
    <col min="7" max="7" width="8.42578125" style="198" customWidth="1"/>
    <col min="8" max="8" width="11.7109375" style="198" customWidth="1"/>
    <col min="9" max="9" width="9.5703125" style="202" customWidth="1"/>
    <col min="10" max="10" width="14.7109375" style="202" customWidth="1"/>
    <col min="11" max="11" width="11.28515625" style="202" customWidth="1"/>
    <col min="12" max="12" width="10.140625" style="199" customWidth="1"/>
    <col min="13" max="13" width="13.28515625" style="280" customWidth="1"/>
    <col min="14" max="14" width="26" style="199" customWidth="1"/>
    <col min="15" max="15" width="17.7109375" style="199" customWidth="1"/>
    <col min="16" max="16" width="11.140625" style="198" customWidth="1"/>
    <col min="17" max="16384" width="9.140625" style="198"/>
  </cols>
  <sheetData>
    <row r="1" spans="1:16" s="145" customFormat="1" ht="15">
      <c r="A1" s="848" t="s">
        <v>1969</v>
      </c>
      <c r="B1" s="849"/>
      <c r="C1" s="849"/>
      <c r="D1" s="849"/>
      <c r="E1" s="849"/>
      <c r="F1" s="849"/>
      <c r="G1" s="849"/>
      <c r="H1" s="849"/>
      <c r="I1" s="849"/>
      <c r="J1" s="849"/>
      <c r="K1" s="849"/>
      <c r="L1" s="849"/>
      <c r="M1" s="849"/>
      <c r="N1" s="849"/>
      <c r="O1" s="849"/>
      <c r="P1" s="850"/>
    </row>
    <row r="2" spans="1:16" s="145" customFormat="1" ht="15">
      <c r="A2" s="851"/>
      <c r="B2" s="815"/>
      <c r="C2" s="815"/>
      <c r="D2" s="815"/>
      <c r="E2" s="815"/>
      <c r="F2" s="815"/>
      <c r="G2" s="815"/>
      <c r="H2" s="815"/>
      <c r="I2" s="815"/>
      <c r="J2" s="815"/>
      <c r="K2" s="815"/>
      <c r="L2" s="815"/>
      <c r="M2" s="815"/>
      <c r="N2" s="815"/>
      <c r="O2" s="815"/>
      <c r="P2" s="852"/>
    </row>
    <row r="3" spans="1:16" s="145" customFormat="1" ht="15">
      <c r="A3" s="851"/>
      <c r="B3" s="815"/>
      <c r="C3" s="815"/>
      <c r="D3" s="815"/>
      <c r="E3" s="815"/>
      <c r="F3" s="815"/>
      <c r="G3" s="815"/>
      <c r="H3" s="815"/>
      <c r="I3" s="815"/>
      <c r="J3" s="815"/>
      <c r="K3" s="815"/>
      <c r="L3" s="815"/>
      <c r="M3" s="815"/>
      <c r="N3" s="815"/>
      <c r="O3" s="815"/>
      <c r="P3" s="852"/>
    </row>
    <row r="4" spans="1:16" s="145" customFormat="1" ht="28.5" customHeight="1">
      <c r="A4" s="851"/>
      <c r="B4" s="815"/>
      <c r="C4" s="815"/>
      <c r="D4" s="815"/>
      <c r="E4" s="815"/>
      <c r="F4" s="815"/>
      <c r="G4" s="815"/>
      <c r="H4" s="815"/>
      <c r="I4" s="815"/>
      <c r="J4" s="815"/>
      <c r="K4" s="815"/>
      <c r="L4" s="815"/>
      <c r="M4" s="815"/>
      <c r="N4" s="815"/>
      <c r="O4" s="815"/>
      <c r="P4" s="852"/>
    </row>
    <row r="5" spans="1:16" ht="36.75" customHeight="1">
      <c r="A5" s="866" t="s">
        <v>0</v>
      </c>
      <c r="B5" s="867" t="s">
        <v>14</v>
      </c>
      <c r="C5" s="867" t="s">
        <v>18</v>
      </c>
      <c r="D5" s="867" t="s">
        <v>1</v>
      </c>
      <c r="E5" s="867" t="s">
        <v>15</v>
      </c>
      <c r="F5" s="868" t="s">
        <v>9</v>
      </c>
      <c r="G5" s="868"/>
      <c r="H5" s="868"/>
      <c r="I5" s="868" t="s">
        <v>7</v>
      </c>
      <c r="J5" s="868" t="s">
        <v>6</v>
      </c>
      <c r="K5" s="868" t="s">
        <v>16</v>
      </c>
      <c r="L5" s="867" t="s">
        <v>2</v>
      </c>
      <c r="M5" s="867"/>
      <c r="N5" s="867" t="s">
        <v>5</v>
      </c>
      <c r="O5" s="867" t="s">
        <v>13</v>
      </c>
      <c r="P5" s="869" t="s">
        <v>8</v>
      </c>
    </row>
    <row r="6" spans="1:16" ht="28.15" customHeight="1">
      <c r="A6" s="866"/>
      <c r="B6" s="867"/>
      <c r="C6" s="867"/>
      <c r="D6" s="867"/>
      <c r="E6" s="867"/>
      <c r="F6" s="423" t="s">
        <v>10</v>
      </c>
      <c r="G6" s="422" t="s">
        <v>11</v>
      </c>
      <c r="H6" s="422" t="s">
        <v>12</v>
      </c>
      <c r="I6" s="868"/>
      <c r="J6" s="868"/>
      <c r="K6" s="868"/>
      <c r="L6" s="423" t="s">
        <v>3</v>
      </c>
      <c r="M6" s="423" t="s">
        <v>4</v>
      </c>
      <c r="N6" s="867"/>
      <c r="O6" s="867"/>
      <c r="P6" s="869"/>
    </row>
    <row r="7" spans="1:16" s="605" customFormat="1" ht="54">
      <c r="A7" s="426">
        <v>1</v>
      </c>
      <c r="B7" s="164" t="s">
        <v>144</v>
      </c>
      <c r="C7" s="164" t="s">
        <v>1663</v>
      </c>
      <c r="D7" s="576" t="s">
        <v>1664</v>
      </c>
      <c r="E7" s="576" t="s">
        <v>1630</v>
      </c>
      <c r="F7" s="184">
        <v>48000</v>
      </c>
      <c r="G7" s="571" t="s">
        <v>23</v>
      </c>
      <c r="H7" s="571" t="s">
        <v>24</v>
      </c>
      <c r="I7" s="571">
        <v>1399</v>
      </c>
      <c r="J7" s="571" t="s">
        <v>638</v>
      </c>
      <c r="K7" s="183">
        <v>1</v>
      </c>
      <c r="L7" s="164"/>
      <c r="M7" s="576" t="s">
        <v>33</v>
      </c>
      <c r="N7" s="164"/>
      <c r="O7" s="164"/>
      <c r="P7" s="427"/>
    </row>
    <row r="8" spans="1:16" s="517" customFormat="1" ht="54">
      <c r="A8" s="426">
        <v>2</v>
      </c>
      <c r="B8" s="576" t="s">
        <v>144</v>
      </c>
      <c r="C8" s="576" t="s">
        <v>1663</v>
      </c>
      <c r="D8" s="576" t="s">
        <v>1664</v>
      </c>
      <c r="E8" s="576" t="s">
        <v>1571</v>
      </c>
      <c r="F8" s="184">
        <v>100000</v>
      </c>
      <c r="G8" s="584" t="s">
        <v>23</v>
      </c>
      <c r="H8" s="584" t="s">
        <v>24</v>
      </c>
      <c r="I8" s="584">
        <v>1399</v>
      </c>
      <c r="J8" s="584" t="s">
        <v>638</v>
      </c>
      <c r="K8" s="183">
        <v>1</v>
      </c>
      <c r="L8" s="576"/>
      <c r="M8" s="696" t="s">
        <v>33</v>
      </c>
      <c r="N8" s="576"/>
      <c r="O8" s="576"/>
      <c r="P8" s="428"/>
    </row>
    <row r="9" spans="1:16" s="605" customFormat="1" ht="54">
      <c r="A9" s="426">
        <v>3</v>
      </c>
      <c r="B9" s="164" t="s">
        <v>144</v>
      </c>
      <c r="C9" s="164" t="s">
        <v>1663</v>
      </c>
      <c r="D9" s="576" t="s">
        <v>1664</v>
      </c>
      <c r="E9" s="576" t="s">
        <v>1572</v>
      </c>
      <c r="F9" s="184">
        <v>288000</v>
      </c>
      <c r="G9" s="571" t="s">
        <v>23</v>
      </c>
      <c r="H9" s="571" t="s">
        <v>24</v>
      </c>
      <c r="I9" s="571">
        <v>1399</v>
      </c>
      <c r="J9" s="571" t="s">
        <v>638</v>
      </c>
      <c r="K9" s="183">
        <v>1</v>
      </c>
      <c r="L9" s="164"/>
      <c r="M9" s="696" t="s">
        <v>33</v>
      </c>
      <c r="N9" s="164"/>
      <c r="O9" s="164"/>
      <c r="P9" s="427"/>
    </row>
    <row r="10" spans="1:16" s="605" customFormat="1" ht="54">
      <c r="A10" s="426">
        <v>4</v>
      </c>
      <c r="B10" s="164" t="s">
        <v>144</v>
      </c>
      <c r="C10" s="164" t="s">
        <v>1663</v>
      </c>
      <c r="D10" s="576" t="s">
        <v>1664</v>
      </c>
      <c r="E10" s="576" t="s">
        <v>1665</v>
      </c>
      <c r="F10" s="184">
        <v>300000</v>
      </c>
      <c r="G10" s="571" t="s">
        <v>23</v>
      </c>
      <c r="H10" s="571" t="s">
        <v>24</v>
      </c>
      <c r="I10" s="571">
        <v>1399</v>
      </c>
      <c r="J10" s="571" t="s">
        <v>638</v>
      </c>
      <c r="K10" s="183">
        <v>1</v>
      </c>
      <c r="L10" s="164"/>
      <c r="M10" s="696" t="s">
        <v>33</v>
      </c>
      <c r="N10" s="164"/>
      <c r="O10" s="164"/>
      <c r="P10" s="427"/>
    </row>
    <row r="11" spans="1:16" s="605" customFormat="1" ht="54">
      <c r="A11" s="426">
        <v>5</v>
      </c>
      <c r="B11" s="164" t="s">
        <v>144</v>
      </c>
      <c r="C11" s="164" t="s">
        <v>1663</v>
      </c>
      <c r="D11" s="576" t="s">
        <v>1664</v>
      </c>
      <c r="E11" s="576" t="s">
        <v>1666</v>
      </c>
      <c r="F11" s="184">
        <v>2500000</v>
      </c>
      <c r="G11" s="571" t="s">
        <v>23</v>
      </c>
      <c r="H11" s="571" t="s">
        <v>24</v>
      </c>
      <c r="I11" s="571">
        <v>1399</v>
      </c>
      <c r="J11" s="571" t="s">
        <v>638</v>
      </c>
      <c r="K11" s="183">
        <v>1</v>
      </c>
      <c r="L11" s="164"/>
      <c r="M11" s="696" t="s">
        <v>33</v>
      </c>
      <c r="N11" s="164"/>
      <c r="O11" s="164"/>
      <c r="P11" s="427"/>
    </row>
    <row r="12" spans="1:16" s="605" customFormat="1" ht="54">
      <c r="A12" s="426">
        <v>6</v>
      </c>
      <c r="B12" s="164" t="s">
        <v>144</v>
      </c>
      <c r="C12" s="164" t="s">
        <v>1663</v>
      </c>
      <c r="D12" s="576" t="s">
        <v>1664</v>
      </c>
      <c r="E12" s="576" t="s">
        <v>1667</v>
      </c>
      <c r="F12" s="184">
        <v>2500000</v>
      </c>
      <c r="G12" s="571" t="s">
        <v>23</v>
      </c>
      <c r="H12" s="571" t="s">
        <v>24</v>
      </c>
      <c r="I12" s="571">
        <v>1399</v>
      </c>
      <c r="J12" s="571" t="s">
        <v>638</v>
      </c>
      <c r="K12" s="183">
        <v>1</v>
      </c>
      <c r="L12" s="164"/>
      <c r="M12" s="696" t="s">
        <v>33</v>
      </c>
      <c r="N12" s="164"/>
      <c r="O12" s="164"/>
      <c r="P12" s="427"/>
    </row>
    <row r="13" spans="1:16" s="605" customFormat="1" ht="54">
      <c r="A13" s="426">
        <v>7</v>
      </c>
      <c r="B13" s="164" t="s">
        <v>144</v>
      </c>
      <c r="C13" s="164" t="s">
        <v>1663</v>
      </c>
      <c r="D13" s="576" t="s">
        <v>1664</v>
      </c>
      <c r="E13" s="576" t="s">
        <v>1668</v>
      </c>
      <c r="F13" s="184">
        <v>6836000</v>
      </c>
      <c r="G13" s="571" t="s">
        <v>23</v>
      </c>
      <c r="H13" s="571" t="s">
        <v>24</v>
      </c>
      <c r="I13" s="571">
        <v>1399</v>
      </c>
      <c r="J13" s="571" t="s">
        <v>638</v>
      </c>
      <c r="K13" s="183">
        <v>1</v>
      </c>
      <c r="L13" s="495"/>
      <c r="M13" s="696" t="s">
        <v>33</v>
      </c>
      <c r="N13" s="164" t="s">
        <v>17</v>
      </c>
      <c r="O13" s="164" t="s">
        <v>17</v>
      </c>
      <c r="P13" s="427"/>
    </row>
    <row r="14" spans="1:16" s="605" customFormat="1" ht="54">
      <c r="A14" s="426">
        <v>8</v>
      </c>
      <c r="B14" s="164" t="s">
        <v>144</v>
      </c>
      <c r="C14" s="164" t="s">
        <v>1663</v>
      </c>
      <c r="D14" s="576" t="s">
        <v>1664</v>
      </c>
      <c r="E14" s="576" t="s">
        <v>1669</v>
      </c>
      <c r="F14" s="184">
        <v>2704000</v>
      </c>
      <c r="G14" s="571" t="s">
        <v>23</v>
      </c>
      <c r="H14" s="571" t="s">
        <v>24</v>
      </c>
      <c r="I14" s="571">
        <v>1399</v>
      </c>
      <c r="J14" s="571" t="s">
        <v>638</v>
      </c>
      <c r="K14" s="183">
        <v>1</v>
      </c>
      <c r="L14" s="164"/>
      <c r="M14" s="696" t="s">
        <v>33</v>
      </c>
      <c r="N14" s="164"/>
      <c r="O14" s="164"/>
      <c r="P14" s="427"/>
    </row>
    <row r="15" spans="1:16" s="605" customFormat="1" ht="54">
      <c r="A15" s="426">
        <v>9</v>
      </c>
      <c r="B15" s="164" t="s">
        <v>144</v>
      </c>
      <c r="C15" s="164" t="s">
        <v>1663</v>
      </c>
      <c r="D15" s="576" t="s">
        <v>1664</v>
      </c>
      <c r="E15" s="576" t="s">
        <v>1670</v>
      </c>
      <c r="F15" s="184">
        <v>60000</v>
      </c>
      <c r="G15" s="571" t="s">
        <v>23</v>
      </c>
      <c r="H15" s="571" t="s">
        <v>24</v>
      </c>
      <c r="I15" s="571">
        <v>1399</v>
      </c>
      <c r="J15" s="571" t="s">
        <v>638</v>
      </c>
      <c r="K15" s="183">
        <v>1</v>
      </c>
      <c r="L15" s="164"/>
      <c r="M15" s="696" t="s">
        <v>33</v>
      </c>
      <c r="N15" s="164"/>
      <c r="O15" s="164"/>
      <c r="P15" s="427"/>
    </row>
    <row r="16" spans="1:16" s="605" customFormat="1" ht="54">
      <c r="A16" s="426">
        <v>10</v>
      </c>
      <c r="B16" s="164" t="s">
        <v>144</v>
      </c>
      <c r="C16" s="164"/>
      <c r="D16" s="576" t="s">
        <v>1664</v>
      </c>
      <c r="E16" s="576" t="s">
        <v>1578</v>
      </c>
      <c r="F16" s="184">
        <v>750000</v>
      </c>
      <c r="G16" s="571" t="s">
        <v>23</v>
      </c>
      <c r="H16" s="571" t="s">
        <v>24</v>
      </c>
      <c r="I16" s="571">
        <v>1399</v>
      </c>
      <c r="J16" s="571" t="s">
        <v>638</v>
      </c>
      <c r="K16" s="183">
        <v>1</v>
      </c>
      <c r="L16" s="164"/>
      <c r="M16" s="696" t="s">
        <v>33</v>
      </c>
      <c r="N16" s="164"/>
      <c r="O16" s="164"/>
      <c r="P16" s="427"/>
    </row>
    <row r="17" spans="1:16" s="605" customFormat="1" ht="54">
      <c r="A17" s="426">
        <v>11</v>
      </c>
      <c r="B17" s="164" t="s">
        <v>144</v>
      </c>
      <c r="C17" s="164" t="s">
        <v>1671</v>
      </c>
      <c r="D17" s="576" t="s">
        <v>1664</v>
      </c>
      <c r="E17" s="576" t="s">
        <v>1479</v>
      </c>
      <c r="F17" s="184">
        <v>250466.66666666666</v>
      </c>
      <c r="G17" s="571" t="s">
        <v>23</v>
      </c>
      <c r="H17" s="571" t="s">
        <v>24</v>
      </c>
      <c r="I17" s="571">
        <v>1399</v>
      </c>
      <c r="J17" s="571" t="s">
        <v>638</v>
      </c>
      <c r="K17" s="183">
        <v>1</v>
      </c>
      <c r="L17" s="164"/>
      <c r="M17" s="696" t="s">
        <v>33</v>
      </c>
      <c r="N17" s="164"/>
      <c r="O17" s="164"/>
      <c r="P17" s="427"/>
    </row>
    <row r="18" spans="1:16" ht="36">
      <c r="A18" s="426">
        <v>12</v>
      </c>
      <c r="B18" s="349" t="s">
        <v>144</v>
      </c>
      <c r="C18" s="164" t="s">
        <v>1672</v>
      </c>
      <c r="D18" s="576" t="s">
        <v>1517</v>
      </c>
      <c r="E18" s="576" t="s">
        <v>1673</v>
      </c>
      <c r="F18" s="184">
        <v>2039745</v>
      </c>
      <c r="G18" s="571" t="s">
        <v>23</v>
      </c>
      <c r="H18" s="571" t="s">
        <v>24</v>
      </c>
      <c r="I18" s="571">
        <v>1399</v>
      </c>
      <c r="J18" s="571" t="s">
        <v>638</v>
      </c>
      <c r="K18" s="183" t="s">
        <v>17</v>
      </c>
      <c r="L18" s="164" t="s">
        <v>72</v>
      </c>
      <c r="M18" s="164"/>
      <c r="N18" s="164" t="s">
        <v>110</v>
      </c>
      <c r="O18" s="164" t="s">
        <v>1674</v>
      </c>
      <c r="P18" s="606"/>
    </row>
    <row r="19" spans="1:16" ht="72">
      <c r="A19" s="426">
        <v>13</v>
      </c>
      <c r="B19" s="349" t="s">
        <v>144</v>
      </c>
      <c r="C19" s="164" t="s">
        <v>1675</v>
      </c>
      <c r="D19" s="576" t="s">
        <v>1517</v>
      </c>
      <c r="E19" s="576" t="s">
        <v>1676</v>
      </c>
      <c r="F19" s="184">
        <v>18890335</v>
      </c>
      <c r="G19" s="571" t="s">
        <v>23</v>
      </c>
      <c r="H19" s="571" t="s">
        <v>24</v>
      </c>
      <c r="I19" s="571">
        <v>1399</v>
      </c>
      <c r="J19" s="571" t="s">
        <v>638</v>
      </c>
      <c r="K19" s="183">
        <v>1</v>
      </c>
      <c r="L19" s="164"/>
      <c r="M19" s="576" t="s">
        <v>33</v>
      </c>
      <c r="N19" s="164"/>
      <c r="O19" s="164"/>
      <c r="P19" s="427"/>
    </row>
    <row r="20" spans="1:16" ht="40.15" customHeight="1">
      <c r="A20" s="426">
        <v>14</v>
      </c>
      <c r="B20" s="164" t="s">
        <v>144</v>
      </c>
      <c r="C20" s="164"/>
      <c r="D20" s="419" t="s">
        <v>28</v>
      </c>
      <c r="E20" s="419" t="s">
        <v>145</v>
      </c>
      <c r="F20" s="184">
        <v>90000</v>
      </c>
      <c r="G20" s="418" t="s">
        <v>23</v>
      </c>
      <c r="H20" s="418" t="s">
        <v>24</v>
      </c>
      <c r="I20" s="418">
        <v>1399</v>
      </c>
      <c r="J20" s="418" t="s">
        <v>638</v>
      </c>
      <c r="K20" s="183">
        <v>1</v>
      </c>
      <c r="L20" s="164"/>
      <c r="M20" s="696" t="s">
        <v>33</v>
      </c>
      <c r="N20" s="164"/>
      <c r="O20" s="164"/>
      <c r="P20" s="427"/>
    </row>
    <row r="21" spans="1:16" ht="48.75" customHeight="1">
      <c r="A21" s="426">
        <v>15</v>
      </c>
      <c r="B21" s="164" t="s">
        <v>144</v>
      </c>
      <c r="C21" s="164"/>
      <c r="D21" s="419" t="s">
        <v>28</v>
      </c>
      <c r="E21" s="419" t="s">
        <v>641</v>
      </c>
      <c r="F21" s="184">
        <v>8400000</v>
      </c>
      <c r="G21" s="418" t="s">
        <v>23</v>
      </c>
      <c r="H21" s="418" t="s">
        <v>24</v>
      </c>
      <c r="I21" s="418">
        <v>1399</v>
      </c>
      <c r="J21" s="418" t="s">
        <v>638</v>
      </c>
      <c r="K21" s="183">
        <v>1</v>
      </c>
      <c r="L21" s="164"/>
      <c r="M21" s="696" t="s">
        <v>33</v>
      </c>
      <c r="N21" s="164"/>
      <c r="O21" s="164"/>
      <c r="P21" s="427"/>
    </row>
    <row r="22" spans="1:16" ht="48.75" customHeight="1">
      <c r="A22" s="426">
        <v>16</v>
      </c>
      <c r="B22" s="164" t="s">
        <v>144</v>
      </c>
      <c r="C22" s="164"/>
      <c r="D22" s="836" t="s">
        <v>116</v>
      </c>
      <c r="E22" s="419" t="s">
        <v>22</v>
      </c>
      <c r="F22" s="184">
        <v>640000</v>
      </c>
      <c r="G22" s="418" t="s">
        <v>23</v>
      </c>
      <c r="H22" s="418" t="s">
        <v>24</v>
      </c>
      <c r="I22" s="418">
        <v>1399</v>
      </c>
      <c r="J22" s="418" t="s">
        <v>638</v>
      </c>
      <c r="K22" s="183">
        <v>1</v>
      </c>
      <c r="L22" s="419"/>
      <c r="M22" s="696" t="s">
        <v>33</v>
      </c>
      <c r="N22" s="164"/>
      <c r="O22" s="164"/>
      <c r="P22" s="427"/>
    </row>
    <row r="23" spans="1:16" ht="67.5" customHeight="1">
      <c r="A23" s="426">
        <v>17</v>
      </c>
      <c r="B23" s="164" t="s">
        <v>144</v>
      </c>
      <c r="C23" s="164"/>
      <c r="D23" s="836"/>
      <c r="E23" s="419" t="s">
        <v>131</v>
      </c>
      <c r="F23" s="184">
        <v>17000</v>
      </c>
      <c r="G23" s="418" t="s">
        <v>23</v>
      </c>
      <c r="H23" s="418" t="s">
        <v>24</v>
      </c>
      <c r="I23" s="418">
        <v>1399</v>
      </c>
      <c r="J23" s="418" t="s">
        <v>638</v>
      </c>
      <c r="K23" s="183">
        <v>1</v>
      </c>
      <c r="L23" s="419"/>
      <c r="M23" s="696" t="s">
        <v>33</v>
      </c>
      <c r="N23" s="164"/>
      <c r="O23" s="164"/>
      <c r="P23" s="427"/>
    </row>
    <row r="24" spans="1:16" ht="154.9" customHeight="1">
      <c r="A24" s="426">
        <v>18</v>
      </c>
      <c r="B24" s="164" t="s">
        <v>144</v>
      </c>
      <c r="C24" s="164" t="s">
        <v>640</v>
      </c>
      <c r="D24" s="419" t="s">
        <v>55</v>
      </c>
      <c r="E24" s="419" t="s">
        <v>639</v>
      </c>
      <c r="F24" s="184">
        <v>290400</v>
      </c>
      <c r="G24" s="418" t="s">
        <v>23</v>
      </c>
      <c r="H24" s="418" t="s">
        <v>24</v>
      </c>
      <c r="I24" s="418">
        <v>1399</v>
      </c>
      <c r="J24" s="418" t="s">
        <v>638</v>
      </c>
      <c r="K24" s="183">
        <v>1</v>
      </c>
      <c r="L24" s="419"/>
      <c r="M24" s="696" t="s">
        <v>33</v>
      </c>
      <c r="N24" s="419"/>
      <c r="O24" s="419"/>
      <c r="P24" s="428"/>
    </row>
    <row r="25" spans="1:16" ht="44.25" customHeight="1">
      <c r="A25" s="426">
        <v>19</v>
      </c>
      <c r="B25" s="164" t="s">
        <v>144</v>
      </c>
      <c r="C25" s="164"/>
      <c r="D25" s="419" t="s">
        <v>31</v>
      </c>
      <c r="E25" s="419" t="s">
        <v>146</v>
      </c>
      <c r="F25" s="184">
        <v>1500000</v>
      </c>
      <c r="G25" s="418" t="s">
        <v>23</v>
      </c>
      <c r="H25" s="418" t="s">
        <v>24</v>
      </c>
      <c r="I25" s="418">
        <v>1399</v>
      </c>
      <c r="J25" s="354" t="s">
        <v>25</v>
      </c>
      <c r="K25" s="183" t="s">
        <v>17</v>
      </c>
      <c r="L25" s="419" t="s">
        <v>72</v>
      </c>
      <c r="M25" s="419"/>
      <c r="N25" s="421" t="s">
        <v>110</v>
      </c>
      <c r="O25" s="6" t="s">
        <v>943</v>
      </c>
      <c r="P25" s="428"/>
    </row>
    <row r="26" spans="1:16" ht="64.5" customHeight="1">
      <c r="A26" s="426">
        <v>20</v>
      </c>
      <c r="B26" s="164" t="s">
        <v>144</v>
      </c>
      <c r="C26" s="164"/>
      <c r="D26" s="419" t="s">
        <v>31</v>
      </c>
      <c r="E26" s="419" t="s">
        <v>120</v>
      </c>
      <c r="F26" s="184">
        <v>337088</v>
      </c>
      <c r="G26" s="418" t="s">
        <v>23</v>
      </c>
      <c r="H26" s="418" t="s">
        <v>24</v>
      </c>
      <c r="I26" s="418">
        <v>1399</v>
      </c>
      <c r="J26" s="354" t="s">
        <v>25</v>
      </c>
      <c r="K26" s="183">
        <v>1</v>
      </c>
      <c r="L26" s="419"/>
      <c r="M26" s="419" t="s">
        <v>33</v>
      </c>
      <c r="N26" s="419"/>
      <c r="O26" s="164"/>
      <c r="P26" s="428"/>
    </row>
    <row r="27" spans="1:16" ht="64.5" customHeight="1">
      <c r="A27" s="426">
        <v>21</v>
      </c>
      <c r="B27" s="164" t="s">
        <v>144</v>
      </c>
      <c r="C27" s="164"/>
      <c r="D27" s="419" t="s">
        <v>31</v>
      </c>
      <c r="E27" s="419" t="s">
        <v>121</v>
      </c>
      <c r="F27" s="184">
        <v>274440</v>
      </c>
      <c r="G27" s="418" t="s">
        <v>23</v>
      </c>
      <c r="H27" s="418" t="s">
        <v>24</v>
      </c>
      <c r="I27" s="418">
        <v>1399</v>
      </c>
      <c r="J27" s="354" t="s">
        <v>25</v>
      </c>
      <c r="K27" s="183">
        <v>1</v>
      </c>
      <c r="L27" s="40" t="s">
        <v>17</v>
      </c>
      <c r="M27" s="696" t="s">
        <v>33</v>
      </c>
      <c r="N27" s="40" t="s">
        <v>17</v>
      </c>
      <c r="O27" s="164"/>
      <c r="P27" s="428"/>
    </row>
    <row r="28" spans="1:16" ht="64.5" customHeight="1">
      <c r="A28" s="426">
        <v>22</v>
      </c>
      <c r="B28" s="164" t="s">
        <v>144</v>
      </c>
      <c r="C28" s="164"/>
      <c r="D28" s="419" t="s">
        <v>31</v>
      </c>
      <c r="E28" s="419" t="s">
        <v>122</v>
      </c>
      <c r="F28" s="184">
        <v>266000</v>
      </c>
      <c r="G28" s="418" t="s">
        <v>23</v>
      </c>
      <c r="H28" s="418" t="s">
        <v>24</v>
      </c>
      <c r="I28" s="418">
        <v>1399</v>
      </c>
      <c r="J28" s="354" t="s">
        <v>25</v>
      </c>
      <c r="K28" s="183">
        <v>1</v>
      </c>
      <c r="L28" s="419"/>
      <c r="M28" s="696" t="s">
        <v>33</v>
      </c>
      <c r="N28" s="419"/>
      <c r="O28" s="164"/>
      <c r="P28" s="428"/>
    </row>
    <row r="29" spans="1:16" ht="64.5" customHeight="1">
      <c r="A29" s="426">
        <v>23</v>
      </c>
      <c r="B29" s="164" t="s">
        <v>144</v>
      </c>
      <c r="C29" s="164"/>
      <c r="D29" s="419" t="s">
        <v>31</v>
      </c>
      <c r="E29" s="419" t="s">
        <v>637</v>
      </c>
      <c r="F29" s="184">
        <v>2000000</v>
      </c>
      <c r="G29" s="418" t="s">
        <v>23</v>
      </c>
      <c r="H29" s="418" t="s">
        <v>24</v>
      </c>
      <c r="I29" s="418">
        <v>1399</v>
      </c>
      <c r="J29" s="354" t="s">
        <v>25</v>
      </c>
      <c r="K29" s="183">
        <v>1</v>
      </c>
      <c r="L29" s="419"/>
      <c r="M29" s="696" t="s">
        <v>33</v>
      </c>
      <c r="N29" s="419"/>
      <c r="O29" s="419"/>
      <c r="P29" s="428"/>
    </row>
    <row r="30" spans="1:16" ht="88.9" customHeight="1">
      <c r="A30" s="426">
        <v>24</v>
      </c>
      <c r="B30" s="164" t="s">
        <v>144</v>
      </c>
      <c r="C30" s="164"/>
      <c r="D30" s="419" t="s">
        <v>40</v>
      </c>
      <c r="E30" s="164" t="s">
        <v>133</v>
      </c>
      <c r="F30" s="184">
        <v>1413600</v>
      </c>
      <c r="G30" s="418" t="s">
        <v>23</v>
      </c>
      <c r="H30" s="418" t="s">
        <v>24</v>
      </c>
      <c r="I30" s="418">
        <v>1399</v>
      </c>
      <c r="J30" s="354" t="s">
        <v>25</v>
      </c>
      <c r="K30" s="183">
        <v>1</v>
      </c>
      <c r="L30" s="646" t="s">
        <v>1828</v>
      </c>
      <c r="M30" s="696" t="s">
        <v>33</v>
      </c>
      <c r="N30" s="452" t="s">
        <v>325</v>
      </c>
      <c r="O30" s="22" t="s">
        <v>985</v>
      </c>
      <c r="P30" s="429"/>
    </row>
    <row r="31" spans="1:16" ht="61.5" customHeight="1">
      <c r="A31" s="426">
        <v>25</v>
      </c>
      <c r="B31" s="164" t="s">
        <v>144</v>
      </c>
      <c r="C31" s="164"/>
      <c r="D31" s="419" t="s">
        <v>40</v>
      </c>
      <c r="E31" s="164" t="s">
        <v>636</v>
      </c>
      <c r="F31" s="184">
        <f>130* 58032</f>
        <v>7544160</v>
      </c>
      <c r="G31" s="418" t="s">
        <v>23</v>
      </c>
      <c r="H31" s="418" t="s">
        <v>24</v>
      </c>
      <c r="I31" s="418">
        <v>1399</v>
      </c>
      <c r="J31" s="354" t="s">
        <v>25</v>
      </c>
      <c r="K31" s="183">
        <v>1</v>
      </c>
      <c r="L31" s="419"/>
      <c r="M31" s="696" t="s">
        <v>33</v>
      </c>
      <c r="N31" s="419"/>
      <c r="O31" s="419"/>
      <c r="P31" s="429"/>
    </row>
    <row r="32" spans="1:16" ht="61.5" customHeight="1">
      <c r="A32" s="426">
        <v>26</v>
      </c>
      <c r="B32" s="164" t="s">
        <v>144</v>
      </c>
      <c r="C32" s="164"/>
      <c r="D32" s="419" t="s">
        <v>40</v>
      </c>
      <c r="E32" s="164" t="s">
        <v>148</v>
      </c>
      <c r="F32" s="184" t="s">
        <v>17</v>
      </c>
      <c r="G32" s="418" t="s">
        <v>17</v>
      </c>
      <c r="H32" s="418" t="s">
        <v>17</v>
      </c>
      <c r="I32" s="418">
        <v>1399</v>
      </c>
      <c r="J32" s="354" t="s">
        <v>25</v>
      </c>
      <c r="K32" s="183">
        <v>1</v>
      </c>
      <c r="L32" s="419"/>
      <c r="M32" s="696" t="s">
        <v>33</v>
      </c>
      <c r="N32" s="419"/>
      <c r="O32" s="193"/>
      <c r="P32" s="429" t="s">
        <v>957</v>
      </c>
    </row>
    <row r="33" spans="1:16" ht="79.900000000000006" customHeight="1">
      <c r="A33" s="426">
        <v>27</v>
      </c>
      <c r="B33" s="164" t="s">
        <v>144</v>
      </c>
      <c r="C33" s="164"/>
      <c r="D33" s="419" t="s">
        <v>40</v>
      </c>
      <c r="E33" s="164" t="s">
        <v>149</v>
      </c>
      <c r="F33" s="184">
        <v>848904</v>
      </c>
      <c r="G33" s="418" t="s">
        <v>23</v>
      </c>
      <c r="H33" s="418" t="s">
        <v>24</v>
      </c>
      <c r="I33" s="418">
        <v>1399</v>
      </c>
      <c r="J33" s="354" t="s">
        <v>25</v>
      </c>
      <c r="K33" s="183">
        <v>1</v>
      </c>
      <c r="L33" s="646" t="s">
        <v>1828</v>
      </c>
      <c r="M33" s="696" t="s">
        <v>33</v>
      </c>
      <c r="N33" s="452" t="s">
        <v>325</v>
      </c>
      <c r="O33" s="22" t="s">
        <v>985</v>
      </c>
      <c r="P33" s="429"/>
    </row>
    <row r="34" spans="1:16" ht="77.45" customHeight="1">
      <c r="A34" s="426">
        <v>28</v>
      </c>
      <c r="B34" s="164" t="s">
        <v>144</v>
      </c>
      <c r="C34" s="164"/>
      <c r="D34" s="419" t="s">
        <v>40</v>
      </c>
      <c r="E34" s="191" t="s">
        <v>44</v>
      </c>
      <c r="F34" s="184">
        <f>8* 102300</f>
        <v>818400</v>
      </c>
      <c r="G34" s="418" t="s">
        <v>23</v>
      </c>
      <c r="H34" s="418" t="s">
        <v>24</v>
      </c>
      <c r="I34" s="418">
        <v>1399</v>
      </c>
      <c r="J34" s="354" t="s">
        <v>25</v>
      </c>
      <c r="K34" s="183">
        <v>1</v>
      </c>
      <c r="L34" s="646" t="s">
        <v>1828</v>
      </c>
      <c r="M34" s="696" t="s">
        <v>33</v>
      </c>
      <c r="N34" s="452" t="s">
        <v>325</v>
      </c>
      <c r="O34" s="22" t="s">
        <v>985</v>
      </c>
      <c r="P34" s="429"/>
    </row>
    <row r="35" spans="1:16" ht="49.5" customHeight="1">
      <c r="A35" s="426">
        <v>29</v>
      </c>
      <c r="B35" s="164" t="s">
        <v>144</v>
      </c>
      <c r="C35" s="164"/>
      <c r="D35" s="419" t="s">
        <v>40</v>
      </c>
      <c r="E35" s="191" t="s">
        <v>150</v>
      </c>
      <c r="F35" s="184">
        <v>68634</v>
      </c>
      <c r="G35" s="418" t="s">
        <v>23</v>
      </c>
      <c r="H35" s="418" t="s">
        <v>24</v>
      </c>
      <c r="I35" s="418">
        <v>1399</v>
      </c>
      <c r="J35" s="354" t="s">
        <v>25</v>
      </c>
      <c r="K35" s="183">
        <v>1</v>
      </c>
      <c r="L35" s="646" t="s">
        <v>1828</v>
      </c>
      <c r="M35" s="696" t="s">
        <v>33</v>
      </c>
      <c r="N35" s="452" t="s">
        <v>325</v>
      </c>
      <c r="O35" s="22" t="s">
        <v>985</v>
      </c>
      <c r="P35" s="429"/>
    </row>
    <row r="36" spans="1:16" ht="84" customHeight="1">
      <c r="A36" s="426">
        <v>30</v>
      </c>
      <c r="B36" s="164" t="s">
        <v>144</v>
      </c>
      <c r="C36" s="164"/>
      <c r="D36" s="419" t="s">
        <v>40</v>
      </c>
      <c r="E36" s="164" t="s">
        <v>635</v>
      </c>
      <c r="F36" s="184">
        <f>15* 223200</f>
        <v>3348000</v>
      </c>
      <c r="G36" s="418" t="s">
        <v>23</v>
      </c>
      <c r="H36" s="418" t="s">
        <v>24</v>
      </c>
      <c r="I36" s="418">
        <v>1399</v>
      </c>
      <c r="J36" s="354" t="s">
        <v>25</v>
      </c>
      <c r="K36" s="183">
        <v>1</v>
      </c>
      <c r="L36" s="646" t="s">
        <v>1828</v>
      </c>
      <c r="M36" s="696" t="s">
        <v>33</v>
      </c>
      <c r="N36" s="452" t="s">
        <v>325</v>
      </c>
      <c r="O36" s="22" t="s">
        <v>985</v>
      </c>
      <c r="P36" s="429"/>
    </row>
    <row r="37" spans="1:16" ht="92.45" customHeight="1">
      <c r="A37" s="426">
        <v>31</v>
      </c>
      <c r="B37" s="164" t="s">
        <v>144</v>
      </c>
      <c r="C37" s="164"/>
      <c r="D37" s="419" t="s">
        <v>40</v>
      </c>
      <c r="E37" s="164" t="s">
        <v>151</v>
      </c>
      <c r="F37" s="184">
        <f>2*304452</f>
        <v>608904</v>
      </c>
      <c r="G37" s="418" t="s">
        <v>23</v>
      </c>
      <c r="H37" s="418" t="s">
        <v>24</v>
      </c>
      <c r="I37" s="418">
        <v>1399</v>
      </c>
      <c r="J37" s="354" t="s">
        <v>25</v>
      </c>
      <c r="K37" s="183">
        <v>1</v>
      </c>
      <c r="L37" s="646" t="s">
        <v>1828</v>
      </c>
      <c r="M37" s="696" t="s">
        <v>33</v>
      </c>
      <c r="N37" s="452" t="s">
        <v>325</v>
      </c>
      <c r="O37" s="22" t="s">
        <v>985</v>
      </c>
      <c r="P37" s="429"/>
    </row>
    <row r="38" spans="1:16" ht="45.75" customHeight="1">
      <c r="A38" s="426">
        <v>32</v>
      </c>
      <c r="B38" s="164" t="s">
        <v>144</v>
      </c>
      <c r="C38" s="164"/>
      <c r="D38" s="419" t="s">
        <v>40</v>
      </c>
      <c r="E38" s="164" t="s">
        <v>634</v>
      </c>
      <c r="F38" s="184">
        <f>1125* 148</f>
        <v>166500</v>
      </c>
      <c r="G38" s="418" t="s">
        <v>23</v>
      </c>
      <c r="H38" s="418" t="s">
        <v>24</v>
      </c>
      <c r="I38" s="418">
        <v>1399</v>
      </c>
      <c r="J38" s="354" t="s">
        <v>25</v>
      </c>
      <c r="K38" s="183">
        <v>1</v>
      </c>
      <c r="L38" s="419"/>
      <c r="M38" s="696" t="s">
        <v>33</v>
      </c>
      <c r="N38" s="419"/>
      <c r="O38" s="419"/>
      <c r="P38" s="429"/>
    </row>
    <row r="39" spans="1:16" ht="45.75" customHeight="1">
      <c r="A39" s="426">
        <v>33</v>
      </c>
      <c r="B39" s="164" t="s">
        <v>144</v>
      </c>
      <c r="C39" s="164"/>
      <c r="D39" s="448" t="s">
        <v>40</v>
      </c>
      <c r="E39" s="164" t="s">
        <v>963</v>
      </c>
      <c r="F39" s="184">
        <v>300000</v>
      </c>
      <c r="G39" s="446" t="s">
        <v>23</v>
      </c>
      <c r="H39" s="446" t="s">
        <v>24</v>
      </c>
      <c r="I39" s="446">
        <v>1399</v>
      </c>
      <c r="J39" s="354" t="s">
        <v>25</v>
      </c>
      <c r="K39" s="183">
        <v>1</v>
      </c>
      <c r="L39" s="448"/>
      <c r="M39" s="696" t="s">
        <v>33</v>
      </c>
      <c r="N39" s="448"/>
      <c r="O39" s="448"/>
      <c r="P39" s="429"/>
    </row>
    <row r="40" spans="1:16" ht="93.6" customHeight="1">
      <c r="A40" s="426">
        <v>34</v>
      </c>
      <c r="B40" s="164" t="s">
        <v>144</v>
      </c>
      <c r="C40" s="164"/>
      <c r="D40" s="419" t="s">
        <v>40</v>
      </c>
      <c r="E40" s="164" t="s">
        <v>86</v>
      </c>
      <c r="F40" s="184">
        <f>375000*2</f>
        <v>750000</v>
      </c>
      <c r="G40" s="418" t="s">
        <v>23</v>
      </c>
      <c r="H40" s="418" t="s">
        <v>24</v>
      </c>
      <c r="I40" s="418">
        <v>1399</v>
      </c>
      <c r="J40" s="354" t="s">
        <v>25</v>
      </c>
      <c r="K40" s="183">
        <v>1</v>
      </c>
      <c r="L40" s="646" t="s">
        <v>1828</v>
      </c>
      <c r="M40" s="696" t="s">
        <v>33</v>
      </c>
      <c r="N40" s="421" t="s">
        <v>325</v>
      </c>
      <c r="O40" s="421" t="s">
        <v>56</v>
      </c>
      <c r="P40" s="428"/>
    </row>
    <row r="41" spans="1:16" ht="43.15" customHeight="1">
      <c r="A41" s="426">
        <v>35</v>
      </c>
      <c r="B41" s="164" t="s">
        <v>144</v>
      </c>
      <c r="C41" s="164"/>
      <c r="D41" s="419" t="s">
        <v>40</v>
      </c>
      <c r="E41" s="164" t="s">
        <v>633</v>
      </c>
      <c r="F41" s="184">
        <f>25* 22320</f>
        <v>558000</v>
      </c>
      <c r="G41" s="418" t="s">
        <v>23</v>
      </c>
      <c r="H41" s="418" t="s">
        <v>24</v>
      </c>
      <c r="I41" s="418">
        <v>1399</v>
      </c>
      <c r="J41" s="354" t="s">
        <v>25</v>
      </c>
      <c r="K41" s="183">
        <v>1</v>
      </c>
      <c r="L41" s="419"/>
      <c r="M41" s="696" t="s">
        <v>33</v>
      </c>
      <c r="N41" s="419"/>
      <c r="O41" s="419"/>
      <c r="P41" s="428"/>
    </row>
    <row r="42" spans="1:16" ht="42" customHeight="1">
      <c r="A42" s="426">
        <v>36</v>
      </c>
      <c r="B42" s="164" t="s">
        <v>144</v>
      </c>
      <c r="C42" s="164"/>
      <c r="D42" s="419" t="s">
        <v>40</v>
      </c>
      <c r="E42" s="164" t="s">
        <v>47</v>
      </c>
      <c r="F42" s="184">
        <f>150* 1518</f>
        <v>227700</v>
      </c>
      <c r="G42" s="418" t="s">
        <v>23</v>
      </c>
      <c r="H42" s="418" t="s">
        <v>24</v>
      </c>
      <c r="I42" s="418">
        <v>1399</v>
      </c>
      <c r="J42" s="354" t="s">
        <v>25</v>
      </c>
      <c r="K42" s="183">
        <v>1</v>
      </c>
      <c r="L42" s="419"/>
      <c r="M42" s="696" t="s">
        <v>33</v>
      </c>
      <c r="N42" s="419"/>
      <c r="O42" s="419"/>
      <c r="P42" s="428"/>
    </row>
    <row r="43" spans="1:16" ht="72" customHeight="1">
      <c r="A43" s="426">
        <v>37</v>
      </c>
      <c r="B43" s="164" t="s">
        <v>144</v>
      </c>
      <c r="C43" s="164"/>
      <c r="D43" s="419" t="s">
        <v>40</v>
      </c>
      <c r="E43" s="164" t="s">
        <v>48</v>
      </c>
      <c r="F43" s="184">
        <f>2* 42514</f>
        <v>85028</v>
      </c>
      <c r="G43" s="418" t="s">
        <v>23</v>
      </c>
      <c r="H43" s="418" t="s">
        <v>24</v>
      </c>
      <c r="I43" s="418">
        <v>1399</v>
      </c>
      <c r="J43" s="354" t="s">
        <v>25</v>
      </c>
      <c r="K43" s="183">
        <v>1</v>
      </c>
      <c r="L43" s="646" t="s">
        <v>1828</v>
      </c>
      <c r="M43" s="696" t="s">
        <v>33</v>
      </c>
      <c r="N43" s="452" t="s">
        <v>325</v>
      </c>
      <c r="O43" s="22" t="s">
        <v>985</v>
      </c>
      <c r="P43" s="429"/>
    </row>
    <row r="44" spans="1:16" ht="90">
      <c r="A44" s="426">
        <v>38</v>
      </c>
      <c r="B44" s="164" t="s">
        <v>144</v>
      </c>
      <c r="C44" s="164"/>
      <c r="D44" s="419" t="s">
        <v>40</v>
      </c>
      <c r="E44" s="419" t="s">
        <v>152</v>
      </c>
      <c r="F44" s="184">
        <f>50*1041</f>
        <v>52050</v>
      </c>
      <c r="G44" s="418" t="s">
        <v>23</v>
      </c>
      <c r="H44" s="418" t="s">
        <v>24</v>
      </c>
      <c r="I44" s="418">
        <v>1399</v>
      </c>
      <c r="J44" s="354" t="s">
        <v>25</v>
      </c>
      <c r="K44" s="183">
        <v>1</v>
      </c>
      <c r="L44" s="646" t="s">
        <v>1828</v>
      </c>
      <c r="M44" s="696" t="s">
        <v>33</v>
      </c>
      <c r="N44" s="452" t="s">
        <v>325</v>
      </c>
      <c r="O44" s="22" t="s">
        <v>985</v>
      </c>
      <c r="P44" s="429"/>
    </row>
    <row r="45" spans="1:16" ht="90">
      <c r="A45" s="426">
        <v>39</v>
      </c>
      <c r="B45" s="164" t="s">
        <v>144</v>
      </c>
      <c r="C45" s="164"/>
      <c r="D45" s="419" t="s">
        <v>40</v>
      </c>
      <c r="E45" s="419" t="s">
        <v>153</v>
      </c>
      <c r="F45" s="184">
        <f>100*729</f>
        <v>72900</v>
      </c>
      <c r="G45" s="418" t="s">
        <v>23</v>
      </c>
      <c r="H45" s="418" t="s">
        <v>24</v>
      </c>
      <c r="I45" s="418">
        <v>1399</v>
      </c>
      <c r="J45" s="354" t="s">
        <v>25</v>
      </c>
      <c r="K45" s="183">
        <v>1</v>
      </c>
      <c r="L45" s="646" t="s">
        <v>1828</v>
      </c>
      <c r="M45" s="696" t="s">
        <v>33</v>
      </c>
      <c r="N45" s="452" t="s">
        <v>325</v>
      </c>
      <c r="O45" s="22" t="s">
        <v>985</v>
      </c>
      <c r="P45" s="429"/>
    </row>
    <row r="46" spans="1:16" ht="87.6" customHeight="1">
      <c r="A46" s="426">
        <v>40</v>
      </c>
      <c r="B46" s="164" t="s">
        <v>144</v>
      </c>
      <c r="C46" s="164"/>
      <c r="D46" s="419" t="s">
        <v>40</v>
      </c>
      <c r="E46" s="419" t="s">
        <v>154</v>
      </c>
      <c r="F46" s="184">
        <f>50* 911</f>
        <v>45550</v>
      </c>
      <c r="G46" s="418" t="s">
        <v>23</v>
      </c>
      <c r="H46" s="418" t="s">
        <v>24</v>
      </c>
      <c r="I46" s="418">
        <v>1399</v>
      </c>
      <c r="J46" s="354" t="s">
        <v>25</v>
      </c>
      <c r="K46" s="183">
        <v>1</v>
      </c>
      <c r="L46" s="646" t="s">
        <v>1828</v>
      </c>
      <c r="M46" s="696" t="s">
        <v>33</v>
      </c>
      <c r="N46" s="452" t="s">
        <v>325</v>
      </c>
      <c r="O46" s="22" t="s">
        <v>985</v>
      </c>
      <c r="P46" s="429"/>
    </row>
    <row r="47" spans="1:16" ht="98.45" customHeight="1">
      <c r="A47" s="426">
        <v>41</v>
      </c>
      <c r="B47" s="164" t="s">
        <v>144</v>
      </c>
      <c r="C47" s="164"/>
      <c r="D47" s="419" t="s">
        <v>40</v>
      </c>
      <c r="E47" s="6" t="s">
        <v>155</v>
      </c>
      <c r="F47" s="184">
        <f>400* 315</f>
        <v>126000</v>
      </c>
      <c r="G47" s="418" t="s">
        <v>23</v>
      </c>
      <c r="H47" s="418" t="s">
        <v>24</v>
      </c>
      <c r="I47" s="418">
        <v>1399</v>
      </c>
      <c r="J47" s="354" t="s">
        <v>25</v>
      </c>
      <c r="K47" s="183">
        <v>1</v>
      </c>
      <c r="L47" s="646" t="s">
        <v>1828</v>
      </c>
      <c r="M47" s="696" t="s">
        <v>33</v>
      </c>
      <c r="N47" s="452" t="s">
        <v>325</v>
      </c>
      <c r="O47" s="22" t="s">
        <v>985</v>
      </c>
      <c r="P47" s="429"/>
    </row>
    <row r="48" spans="1:16" ht="81" customHeight="1">
      <c r="A48" s="426">
        <v>42</v>
      </c>
      <c r="B48" s="164" t="s">
        <v>144</v>
      </c>
      <c r="C48" s="164"/>
      <c r="D48" s="419" t="s">
        <v>40</v>
      </c>
      <c r="E48" s="6" t="s">
        <v>51</v>
      </c>
      <c r="F48" s="184">
        <f>5* 10416</f>
        <v>52080</v>
      </c>
      <c r="G48" s="418" t="s">
        <v>23</v>
      </c>
      <c r="H48" s="418" t="s">
        <v>24</v>
      </c>
      <c r="I48" s="418">
        <v>1399</v>
      </c>
      <c r="J48" s="354" t="s">
        <v>25</v>
      </c>
      <c r="K48" s="183">
        <v>1</v>
      </c>
      <c r="L48" s="646" t="s">
        <v>1828</v>
      </c>
      <c r="M48" s="696" t="s">
        <v>33</v>
      </c>
      <c r="N48" s="452" t="s">
        <v>325</v>
      </c>
      <c r="O48" s="22" t="s">
        <v>985</v>
      </c>
      <c r="P48" s="429"/>
    </row>
    <row r="49" spans="1:16" ht="87.6" customHeight="1">
      <c r="A49" s="426">
        <v>43</v>
      </c>
      <c r="B49" s="164" t="s">
        <v>144</v>
      </c>
      <c r="C49" s="164"/>
      <c r="D49" s="419" t="s">
        <v>40</v>
      </c>
      <c r="E49" s="6" t="s">
        <v>409</v>
      </c>
      <c r="F49" s="184">
        <f>20*36456</f>
        <v>729120</v>
      </c>
      <c r="G49" s="418" t="s">
        <v>23</v>
      </c>
      <c r="H49" s="418" t="s">
        <v>24</v>
      </c>
      <c r="I49" s="418">
        <v>1399</v>
      </c>
      <c r="J49" s="354" t="s">
        <v>25</v>
      </c>
      <c r="K49" s="183">
        <v>1</v>
      </c>
      <c r="L49" s="419" t="s">
        <v>1828</v>
      </c>
      <c r="M49" s="696" t="s">
        <v>33</v>
      </c>
      <c r="N49" s="452" t="s">
        <v>325</v>
      </c>
      <c r="O49" s="22" t="s">
        <v>985</v>
      </c>
      <c r="P49" s="429"/>
    </row>
    <row r="50" spans="1:16" ht="36">
      <c r="A50" s="426">
        <v>44</v>
      </c>
      <c r="B50" s="6" t="s">
        <v>75</v>
      </c>
      <c r="C50" s="164"/>
      <c r="D50" s="419" t="s">
        <v>76</v>
      </c>
      <c r="E50" s="419" t="s">
        <v>986</v>
      </c>
      <c r="F50" s="185">
        <v>233253120</v>
      </c>
      <c r="G50" s="82" t="s">
        <v>23</v>
      </c>
      <c r="H50" s="424" t="s">
        <v>77</v>
      </c>
      <c r="I50" s="82">
        <v>1399</v>
      </c>
      <c r="J50" s="421" t="s">
        <v>25</v>
      </c>
      <c r="K50" s="66">
        <v>1</v>
      </c>
      <c r="L50" s="424"/>
      <c r="M50" s="696" t="s">
        <v>33</v>
      </c>
      <c r="N50" s="421"/>
      <c r="O50" s="421"/>
      <c r="P50" s="430"/>
    </row>
    <row r="51" spans="1:16" ht="50.45" customHeight="1">
      <c r="A51" s="426">
        <v>45</v>
      </c>
      <c r="B51" s="164" t="s">
        <v>144</v>
      </c>
      <c r="C51" s="164" t="s">
        <v>1299</v>
      </c>
      <c r="D51" s="462" t="s">
        <v>111</v>
      </c>
      <c r="E51" s="462" t="s">
        <v>1300</v>
      </c>
      <c r="F51" s="184">
        <v>335000</v>
      </c>
      <c r="G51" s="458" t="s">
        <v>23</v>
      </c>
      <c r="H51" s="458" t="s">
        <v>24</v>
      </c>
      <c r="I51" s="458">
        <v>1399</v>
      </c>
      <c r="J51" s="354" t="s">
        <v>25</v>
      </c>
      <c r="K51" s="183">
        <v>1</v>
      </c>
      <c r="L51" s="40"/>
      <c r="M51" s="696" t="s">
        <v>33</v>
      </c>
      <c r="N51" s="462"/>
      <c r="O51" s="462"/>
      <c r="P51" s="469"/>
    </row>
    <row r="52" spans="1:16" ht="52.15" customHeight="1">
      <c r="A52" s="426">
        <v>46</v>
      </c>
      <c r="B52" s="164" t="s">
        <v>144</v>
      </c>
      <c r="C52" s="164" t="s">
        <v>404</v>
      </c>
      <c r="D52" s="462" t="s">
        <v>111</v>
      </c>
      <c r="E52" s="462" t="s">
        <v>112</v>
      </c>
      <c r="F52" s="184">
        <v>240000</v>
      </c>
      <c r="G52" s="458" t="s">
        <v>23</v>
      </c>
      <c r="H52" s="458" t="s">
        <v>24</v>
      </c>
      <c r="I52" s="458">
        <v>1399</v>
      </c>
      <c r="J52" s="354" t="s">
        <v>25</v>
      </c>
      <c r="K52" s="183">
        <v>1</v>
      </c>
      <c r="L52" s="40"/>
      <c r="M52" s="696" t="s">
        <v>33</v>
      </c>
      <c r="N52" s="462"/>
      <c r="O52" s="462"/>
      <c r="P52" s="469"/>
    </row>
    <row r="53" spans="1:16" s="517" customFormat="1" ht="65.45" customHeight="1">
      <c r="A53" s="426">
        <v>47</v>
      </c>
      <c r="B53" s="164" t="s">
        <v>144</v>
      </c>
      <c r="C53" s="164" t="s">
        <v>1301</v>
      </c>
      <c r="D53" s="462" t="s">
        <v>156</v>
      </c>
      <c r="E53" s="462" t="s">
        <v>1302</v>
      </c>
      <c r="F53" s="184">
        <v>419266</v>
      </c>
      <c r="G53" s="458" t="s">
        <v>23</v>
      </c>
      <c r="H53" s="458" t="s">
        <v>24</v>
      </c>
      <c r="I53" s="458">
        <v>1399</v>
      </c>
      <c r="J53" s="354" t="s">
        <v>25</v>
      </c>
      <c r="K53" s="183">
        <v>1</v>
      </c>
      <c r="L53" s="462"/>
      <c r="M53" s="462" t="s">
        <v>33</v>
      </c>
      <c r="N53" s="462"/>
      <c r="O53" s="462"/>
      <c r="P53" s="469"/>
    </row>
    <row r="54" spans="1:16" ht="52.15" customHeight="1">
      <c r="A54" s="426">
        <v>48</v>
      </c>
      <c r="B54" s="164" t="s">
        <v>144</v>
      </c>
      <c r="C54" s="164"/>
      <c r="D54" s="237" t="s">
        <v>130</v>
      </c>
      <c r="E54" s="40" t="s">
        <v>142</v>
      </c>
      <c r="F54" s="37">
        <v>1282840</v>
      </c>
      <c r="G54" s="551" t="s">
        <v>23</v>
      </c>
      <c r="H54" s="551" t="s">
        <v>24</v>
      </c>
      <c r="I54" s="551">
        <v>1399</v>
      </c>
      <c r="J54" s="354" t="s">
        <v>25</v>
      </c>
      <c r="K54" s="66" t="s">
        <v>17</v>
      </c>
      <c r="L54" s="40" t="s">
        <v>72</v>
      </c>
      <c r="M54" s="40"/>
      <c r="N54" s="623" t="s">
        <v>581</v>
      </c>
      <c r="O54" s="236" t="s">
        <v>1842</v>
      </c>
      <c r="P54" s="182"/>
    </row>
  </sheetData>
  <mergeCells count="15">
    <mergeCell ref="D22:D23"/>
    <mergeCell ref="A1:P4"/>
    <mergeCell ref="A5:A6"/>
    <mergeCell ref="B5:B6"/>
    <mergeCell ref="C5:C6"/>
    <mergeCell ref="D5:D6"/>
    <mergeCell ref="E5:E6"/>
    <mergeCell ref="F5:H5"/>
    <mergeCell ref="I5:I6"/>
    <mergeCell ref="J5:J6"/>
    <mergeCell ref="K5:K6"/>
    <mergeCell ref="L5:M5"/>
    <mergeCell ref="N5:N6"/>
    <mergeCell ref="O5:O6"/>
    <mergeCell ref="P5:P6"/>
  </mergeCells>
  <printOptions horizontalCentered="1"/>
  <pageMargins left="0" right="0" top="0.5" bottom="0.5" header="0.3" footer="0.3"/>
  <pageSetup paperSize="9" scale="61"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sheetPr>
    <tabColor rgb="FF92D050"/>
  </sheetPr>
  <dimension ref="A1:W83"/>
  <sheetViews>
    <sheetView rightToLeft="1" view="pageBreakPreview" zoomScale="91" zoomScaleSheetLayoutView="91" workbookViewId="0">
      <pane xSplit="1" ySplit="6" topLeftCell="C70" activePane="bottomRight" state="frozen"/>
      <selection pane="topRight" activeCell="B1" sqref="B1"/>
      <selection pane="bottomLeft" activeCell="A4" sqref="A4"/>
      <selection pane="bottomRight" activeCell="L75" sqref="L75"/>
    </sheetView>
  </sheetViews>
  <sheetFormatPr defaultColWidth="9.140625" defaultRowHeight="15"/>
  <cols>
    <col min="1" max="1" width="7.7109375" style="1" customWidth="1"/>
    <col min="2" max="2" width="16.5703125" style="3" customWidth="1"/>
    <col min="3" max="3" width="10.85546875" style="3" customWidth="1"/>
    <col min="4" max="4" width="12.140625" style="2" customWidth="1"/>
    <col min="5" max="5" width="40.28515625" style="7" customWidth="1"/>
    <col min="6" max="6" width="14.42578125" style="2" customWidth="1"/>
    <col min="7" max="7" width="10.140625" style="2" customWidth="1"/>
    <col min="8" max="8" width="11.28515625" style="10" customWidth="1"/>
    <col min="9" max="9" width="8.42578125" style="1" customWidth="1"/>
    <col min="10" max="10" width="14" style="9" customWidth="1"/>
    <col min="11" max="11" width="9.42578125" style="1" customWidth="1"/>
    <col min="12" max="12" width="9.7109375" style="145" bestFit="1" customWidth="1"/>
    <col min="13" max="13" width="11.5703125" style="11" customWidth="1"/>
    <col min="14" max="14" width="14.7109375" style="12" customWidth="1"/>
    <col min="15" max="15" width="17.7109375" style="12" customWidth="1"/>
    <col min="16" max="16" width="17.7109375" style="145" customWidth="1"/>
    <col min="17" max="16384" width="9.140625" style="145"/>
  </cols>
  <sheetData>
    <row r="1" spans="1:17" ht="18" customHeight="1">
      <c r="A1" s="788" t="s">
        <v>1968</v>
      </c>
      <c r="B1" s="789"/>
      <c r="C1" s="789"/>
      <c r="D1" s="789"/>
      <c r="E1" s="789"/>
      <c r="F1" s="789"/>
      <c r="G1" s="789"/>
      <c r="H1" s="789"/>
      <c r="I1" s="789"/>
      <c r="J1" s="789"/>
      <c r="K1" s="789"/>
      <c r="L1" s="789"/>
      <c r="M1" s="789"/>
      <c r="N1" s="789"/>
      <c r="O1" s="789"/>
      <c r="P1" s="789"/>
    </row>
    <row r="2" spans="1:17" ht="18" customHeight="1">
      <c r="A2" s="789"/>
      <c r="B2" s="789"/>
      <c r="C2" s="789"/>
      <c r="D2" s="789"/>
      <c r="E2" s="789"/>
      <c r="F2" s="789"/>
      <c r="G2" s="789"/>
      <c r="H2" s="789"/>
      <c r="I2" s="789"/>
      <c r="J2" s="789"/>
      <c r="K2" s="789"/>
      <c r="L2" s="789"/>
      <c r="M2" s="789"/>
      <c r="N2" s="789"/>
      <c r="O2" s="789"/>
      <c r="P2" s="789"/>
    </row>
    <row r="3" spans="1:17" ht="18" customHeight="1">
      <c r="A3" s="789"/>
      <c r="B3" s="789"/>
      <c r="C3" s="789"/>
      <c r="D3" s="789"/>
      <c r="E3" s="789"/>
      <c r="F3" s="789"/>
      <c r="G3" s="789"/>
      <c r="H3" s="789"/>
      <c r="I3" s="789"/>
      <c r="J3" s="789"/>
      <c r="K3" s="789"/>
      <c r="L3" s="789"/>
      <c r="M3" s="789"/>
      <c r="N3" s="789"/>
      <c r="O3" s="789"/>
      <c r="P3" s="789"/>
    </row>
    <row r="4" spans="1:17" ht="18" customHeight="1">
      <c r="A4" s="790"/>
      <c r="B4" s="790"/>
      <c r="C4" s="790"/>
      <c r="D4" s="790"/>
      <c r="E4" s="790"/>
      <c r="F4" s="790"/>
      <c r="G4" s="790"/>
      <c r="H4" s="790"/>
      <c r="I4" s="790"/>
      <c r="J4" s="790"/>
      <c r="K4" s="790"/>
      <c r="L4" s="790"/>
      <c r="M4" s="790"/>
      <c r="N4" s="790"/>
      <c r="O4" s="790"/>
      <c r="P4" s="790"/>
    </row>
    <row r="5" spans="1:17" ht="28.15" customHeight="1">
      <c r="A5" s="872" t="s">
        <v>0</v>
      </c>
      <c r="B5" s="872" t="s">
        <v>14</v>
      </c>
      <c r="C5" s="872" t="s">
        <v>18</v>
      </c>
      <c r="D5" s="872" t="s">
        <v>1</v>
      </c>
      <c r="E5" s="872" t="s">
        <v>15</v>
      </c>
      <c r="F5" s="872" t="s">
        <v>9</v>
      </c>
      <c r="G5" s="872"/>
      <c r="H5" s="872"/>
      <c r="I5" s="872" t="s">
        <v>7</v>
      </c>
      <c r="J5" s="872" t="s">
        <v>6</v>
      </c>
      <c r="K5" s="872" t="s">
        <v>16</v>
      </c>
      <c r="L5" s="872" t="s">
        <v>2</v>
      </c>
      <c r="M5" s="872"/>
      <c r="N5" s="876" t="s">
        <v>5</v>
      </c>
      <c r="O5" s="876" t="s">
        <v>13</v>
      </c>
      <c r="P5" s="872" t="s">
        <v>8</v>
      </c>
    </row>
    <row r="6" spans="1:17" ht="32.450000000000003" customHeight="1">
      <c r="A6" s="872"/>
      <c r="B6" s="872"/>
      <c r="C6" s="872"/>
      <c r="D6" s="872"/>
      <c r="E6" s="872"/>
      <c r="F6" s="268" t="s">
        <v>10</v>
      </c>
      <c r="G6" s="268" t="s">
        <v>11</v>
      </c>
      <c r="H6" s="268" t="s">
        <v>12</v>
      </c>
      <c r="I6" s="872"/>
      <c r="J6" s="872"/>
      <c r="K6" s="872"/>
      <c r="L6" s="268" t="s">
        <v>3</v>
      </c>
      <c r="M6" s="268" t="s">
        <v>4</v>
      </c>
      <c r="N6" s="876"/>
      <c r="O6" s="876"/>
      <c r="P6" s="872"/>
    </row>
    <row r="7" spans="1:17" s="5" customFormat="1" ht="33.6" customHeight="1">
      <c r="A7" s="82">
        <v>1</v>
      </c>
      <c r="B7" s="582" t="s">
        <v>75</v>
      </c>
      <c r="C7" s="43"/>
      <c r="D7" s="573" t="s">
        <v>320</v>
      </c>
      <c r="E7" s="573" t="s">
        <v>1677</v>
      </c>
      <c r="F7" s="270">
        <v>200000</v>
      </c>
      <c r="G7" s="582" t="s">
        <v>23</v>
      </c>
      <c r="H7" s="582" t="s">
        <v>77</v>
      </c>
      <c r="I7" s="582">
        <v>1399</v>
      </c>
      <c r="J7" s="582" t="s">
        <v>955</v>
      </c>
      <c r="K7" s="241">
        <v>1</v>
      </c>
      <c r="L7" s="180"/>
      <c r="M7" s="582" t="s">
        <v>370</v>
      </c>
      <c r="N7" s="607"/>
      <c r="O7" s="607"/>
      <c r="P7" s="180"/>
    </row>
    <row r="8" spans="1:17" s="5" customFormat="1" ht="72">
      <c r="A8" s="82">
        <v>2</v>
      </c>
      <c r="B8" s="582" t="s">
        <v>75</v>
      </c>
      <c r="C8" s="43"/>
      <c r="D8" s="573" t="s">
        <v>320</v>
      </c>
      <c r="E8" s="608" t="s">
        <v>1678</v>
      </c>
      <c r="F8" s="270">
        <v>12000</v>
      </c>
      <c r="G8" s="582" t="s">
        <v>23</v>
      </c>
      <c r="H8" s="582" t="s">
        <v>77</v>
      </c>
      <c r="I8" s="582">
        <v>1399</v>
      </c>
      <c r="J8" s="582" t="s">
        <v>25</v>
      </c>
      <c r="K8" s="241">
        <v>1</v>
      </c>
      <c r="L8" s="180"/>
      <c r="M8" s="694" t="s">
        <v>370</v>
      </c>
      <c r="N8" s="607"/>
      <c r="O8" s="607"/>
      <c r="P8" s="180"/>
    </row>
    <row r="9" spans="1:17" s="5" customFormat="1" ht="72">
      <c r="A9" s="82">
        <v>3</v>
      </c>
      <c r="B9" s="582" t="s">
        <v>75</v>
      </c>
      <c r="C9" s="43" t="s">
        <v>184</v>
      </c>
      <c r="D9" s="573" t="s">
        <v>320</v>
      </c>
      <c r="E9" s="573" t="s">
        <v>632</v>
      </c>
      <c r="F9" s="270">
        <v>328666.66666666663</v>
      </c>
      <c r="G9" s="582" t="s">
        <v>23</v>
      </c>
      <c r="H9" s="582" t="s">
        <v>77</v>
      </c>
      <c r="I9" s="582">
        <v>1399</v>
      </c>
      <c r="J9" s="582" t="s">
        <v>25</v>
      </c>
      <c r="K9" s="241">
        <v>1</v>
      </c>
      <c r="L9" s="180"/>
      <c r="M9" s="694" t="s">
        <v>370</v>
      </c>
      <c r="N9" s="607"/>
      <c r="O9" s="607"/>
      <c r="P9" s="180"/>
    </row>
    <row r="10" spans="1:17" s="574" customFormat="1" ht="36">
      <c r="A10" s="82">
        <v>4</v>
      </c>
      <c r="B10" s="33" t="s">
        <v>75</v>
      </c>
      <c r="C10" s="32" t="s">
        <v>1679</v>
      </c>
      <c r="D10" s="43" t="s">
        <v>1523</v>
      </c>
      <c r="E10" s="573" t="s">
        <v>1680</v>
      </c>
      <c r="F10" s="270">
        <v>5843818</v>
      </c>
      <c r="G10" s="582" t="s">
        <v>23</v>
      </c>
      <c r="H10" s="582" t="s">
        <v>77</v>
      </c>
      <c r="I10" s="582">
        <v>1399</v>
      </c>
      <c r="J10" s="582" t="s">
        <v>25</v>
      </c>
      <c r="K10" s="241">
        <v>1</v>
      </c>
      <c r="L10" s="582"/>
      <c r="M10" s="694" t="s">
        <v>370</v>
      </c>
      <c r="N10" s="573"/>
      <c r="O10" s="573"/>
      <c r="P10" s="573" t="s">
        <v>17</v>
      </c>
    </row>
    <row r="11" spans="1:17" s="273" customFormat="1" ht="57" customHeight="1">
      <c r="A11" s="82">
        <v>5</v>
      </c>
      <c r="B11" s="64" t="s">
        <v>75</v>
      </c>
      <c r="C11" s="172" t="s">
        <v>631</v>
      </c>
      <c r="D11" s="57" t="s">
        <v>21</v>
      </c>
      <c r="E11" s="57" t="s">
        <v>240</v>
      </c>
      <c r="F11" s="270">
        <v>1920000</v>
      </c>
      <c r="G11" s="64" t="s">
        <v>23</v>
      </c>
      <c r="H11" s="64" t="s">
        <v>77</v>
      </c>
      <c r="I11" s="64">
        <v>1399</v>
      </c>
      <c r="J11" s="64" t="s">
        <v>25</v>
      </c>
      <c r="K11" s="241">
        <v>1</v>
      </c>
      <c r="L11" s="64"/>
      <c r="M11" s="694" t="s">
        <v>370</v>
      </c>
      <c r="N11" s="57"/>
      <c r="O11" s="57"/>
      <c r="P11" s="57"/>
      <c r="Q11" s="279"/>
    </row>
    <row r="12" spans="1:17" s="273" customFormat="1" ht="43.9" customHeight="1">
      <c r="A12" s="82">
        <v>6</v>
      </c>
      <c r="B12" s="64" t="s">
        <v>75</v>
      </c>
      <c r="C12" s="64"/>
      <c r="D12" s="57" t="s">
        <v>21</v>
      </c>
      <c r="E12" s="57" t="s">
        <v>552</v>
      </c>
      <c r="F12" s="270">
        <v>67000</v>
      </c>
      <c r="G12" s="64" t="s">
        <v>23</v>
      </c>
      <c r="H12" s="64" t="s">
        <v>77</v>
      </c>
      <c r="I12" s="64">
        <v>1399</v>
      </c>
      <c r="J12" s="64" t="s">
        <v>25</v>
      </c>
      <c r="K12" s="241">
        <v>1</v>
      </c>
      <c r="L12" s="64"/>
      <c r="M12" s="694" t="s">
        <v>370</v>
      </c>
      <c r="N12" s="57"/>
      <c r="O12" s="57"/>
      <c r="P12" s="57"/>
      <c r="Q12" s="278"/>
    </row>
    <row r="13" spans="1:17" s="273" customFormat="1" ht="42.75" customHeight="1">
      <c r="A13" s="82">
        <v>7</v>
      </c>
      <c r="B13" s="64" t="s">
        <v>75</v>
      </c>
      <c r="C13" s="43" t="s">
        <v>630</v>
      </c>
      <c r="D13" s="334" t="s">
        <v>31</v>
      </c>
      <c r="E13" s="57" t="s">
        <v>80</v>
      </c>
      <c r="F13" s="270">
        <v>1085800</v>
      </c>
      <c r="G13" s="64" t="s">
        <v>23</v>
      </c>
      <c r="H13" s="64" t="s">
        <v>77</v>
      </c>
      <c r="I13" s="64">
        <v>1399</v>
      </c>
      <c r="J13" s="64" t="s">
        <v>25</v>
      </c>
      <c r="K13" s="241">
        <v>1</v>
      </c>
      <c r="L13" s="244"/>
      <c r="M13" s="694" t="s">
        <v>370</v>
      </c>
      <c r="N13" s="57"/>
      <c r="O13" s="57"/>
      <c r="P13" s="57"/>
      <c r="Q13" s="274"/>
    </row>
    <row r="14" spans="1:17" s="26" customFormat="1" ht="46.15" customHeight="1">
      <c r="A14" s="82">
        <v>8</v>
      </c>
      <c r="B14" s="64" t="s">
        <v>75</v>
      </c>
      <c r="C14" s="43" t="s">
        <v>630</v>
      </c>
      <c r="D14" s="334" t="s">
        <v>31</v>
      </c>
      <c r="E14" s="57" t="s">
        <v>34</v>
      </c>
      <c r="F14" s="270">
        <v>535910</v>
      </c>
      <c r="G14" s="64" t="s">
        <v>23</v>
      </c>
      <c r="H14" s="64" t="s">
        <v>77</v>
      </c>
      <c r="I14" s="64">
        <v>1399</v>
      </c>
      <c r="J14" s="64" t="s">
        <v>25</v>
      </c>
      <c r="K14" s="241">
        <v>1</v>
      </c>
      <c r="L14" s="244"/>
      <c r="M14" s="694" t="s">
        <v>370</v>
      </c>
      <c r="N14" s="57"/>
      <c r="O14" s="57"/>
      <c r="P14" s="57"/>
    </row>
    <row r="15" spans="1:17" s="273" customFormat="1" ht="54">
      <c r="A15" s="82">
        <v>9</v>
      </c>
      <c r="B15" s="64" t="s">
        <v>75</v>
      </c>
      <c r="C15" s="43" t="s">
        <v>579</v>
      </c>
      <c r="D15" s="334" t="s">
        <v>31</v>
      </c>
      <c r="E15" s="169" t="s">
        <v>547</v>
      </c>
      <c r="F15" s="277">
        <v>40044676</v>
      </c>
      <c r="G15" s="43" t="s">
        <v>23</v>
      </c>
      <c r="H15" s="43" t="s">
        <v>77</v>
      </c>
      <c r="I15" s="43">
        <v>1399</v>
      </c>
      <c r="J15" s="43" t="s">
        <v>25</v>
      </c>
      <c r="K15" s="241">
        <v>1</v>
      </c>
      <c r="L15" s="276"/>
      <c r="M15" s="694" t="s">
        <v>370</v>
      </c>
      <c r="N15" s="57"/>
      <c r="O15" s="57"/>
      <c r="P15" s="57"/>
      <c r="Q15" s="274"/>
    </row>
    <row r="16" spans="1:17" s="273" customFormat="1" ht="54">
      <c r="A16" s="82">
        <v>10</v>
      </c>
      <c r="B16" s="64" t="s">
        <v>75</v>
      </c>
      <c r="C16" s="43" t="s">
        <v>630</v>
      </c>
      <c r="D16" s="334" t="s">
        <v>31</v>
      </c>
      <c r="E16" s="57" t="s">
        <v>32</v>
      </c>
      <c r="F16" s="270">
        <v>443800</v>
      </c>
      <c r="G16" s="64" t="s">
        <v>23</v>
      </c>
      <c r="H16" s="64" t="s">
        <v>77</v>
      </c>
      <c r="I16" s="64">
        <v>1399</v>
      </c>
      <c r="J16" s="64" t="s">
        <v>25</v>
      </c>
      <c r="K16" s="241">
        <v>1</v>
      </c>
      <c r="L16" s="244"/>
      <c r="M16" s="694" t="s">
        <v>370</v>
      </c>
      <c r="N16" s="57"/>
      <c r="O16" s="57"/>
      <c r="P16" s="57"/>
      <c r="Q16" s="274"/>
    </row>
    <row r="17" spans="1:19" s="273" customFormat="1" ht="108">
      <c r="A17" s="82">
        <v>11</v>
      </c>
      <c r="B17" s="64" t="s">
        <v>75</v>
      </c>
      <c r="C17" s="43"/>
      <c r="D17" s="334" t="s">
        <v>31</v>
      </c>
      <c r="E17" s="57" t="s">
        <v>483</v>
      </c>
      <c r="F17" s="270">
        <v>254000</v>
      </c>
      <c r="G17" s="64" t="s">
        <v>23</v>
      </c>
      <c r="H17" s="64" t="s">
        <v>77</v>
      </c>
      <c r="I17" s="64">
        <v>1399</v>
      </c>
      <c r="J17" s="64" t="s">
        <v>25</v>
      </c>
      <c r="K17" s="241" t="s">
        <v>17</v>
      </c>
      <c r="L17" s="244" t="s">
        <v>3</v>
      </c>
      <c r="M17" s="244"/>
      <c r="N17" s="57" t="s">
        <v>629</v>
      </c>
      <c r="O17" s="57" t="s">
        <v>628</v>
      </c>
      <c r="P17" s="57"/>
      <c r="Q17" s="274"/>
    </row>
    <row r="18" spans="1:19" s="273" customFormat="1" ht="50.25" customHeight="1">
      <c r="A18" s="82">
        <v>12</v>
      </c>
      <c r="B18" s="64" t="s">
        <v>75</v>
      </c>
      <c r="C18" s="43" t="s">
        <v>627</v>
      </c>
      <c r="D18" s="871" t="s">
        <v>28</v>
      </c>
      <c r="E18" s="85" t="s">
        <v>626</v>
      </c>
      <c r="F18" s="270">
        <v>13440000</v>
      </c>
      <c r="G18" s="64" t="s">
        <v>23</v>
      </c>
      <c r="H18" s="64" t="s">
        <v>77</v>
      </c>
      <c r="I18" s="64">
        <v>1399</v>
      </c>
      <c r="J18" s="64" t="s">
        <v>25</v>
      </c>
      <c r="K18" s="241">
        <v>1</v>
      </c>
      <c r="L18" s="244"/>
      <c r="M18" s="690" t="s">
        <v>33</v>
      </c>
      <c r="N18" s="57"/>
      <c r="O18" s="57"/>
      <c r="P18" s="57"/>
      <c r="Q18" s="274"/>
    </row>
    <row r="19" spans="1:19" s="273" customFormat="1" ht="90">
      <c r="A19" s="82">
        <v>13</v>
      </c>
      <c r="B19" s="64" t="s">
        <v>75</v>
      </c>
      <c r="C19" s="43" t="s">
        <v>625</v>
      </c>
      <c r="D19" s="871"/>
      <c r="E19" s="57" t="s">
        <v>624</v>
      </c>
      <c r="F19" s="270">
        <v>135000</v>
      </c>
      <c r="G19" s="64" t="s">
        <v>23</v>
      </c>
      <c r="H19" s="64" t="s">
        <v>77</v>
      </c>
      <c r="I19" s="64">
        <v>1399</v>
      </c>
      <c r="J19" s="64" t="s">
        <v>25</v>
      </c>
      <c r="K19" s="241">
        <v>1</v>
      </c>
      <c r="L19" s="64" t="s">
        <v>17</v>
      </c>
      <c r="M19" s="64" t="s">
        <v>33</v>
      </c>
      <c r="N19" s="57" t="s">
        <v>17</v>
      </c>
      <c r="O19" s="57"/>
      <c r="P19" s="57"/>
      <c r="Q19" s="274"/>
    </row>
    <row r="20" spans="1:19" s="256" customFormat="1" ht="52.9" customHeight="1">
      <c r="A20" s="82">
        <v>14</v>
      </c>
      <c r="B20" s="64" t="s">
        <v>75</v>
      </c>
      <c r="C20" s="57"/>
      <c r="D20" s="57" t="s">
        <v>40</v>
      </c>
      <c r="E20" s="353" t="s">
        <v>623</v>
      </c>
      <c r="F20" s="394">
        <v>839120</v>
      </c>
      <c r="G20" s="57" t="s">
        <v>23</v>
      </c>
      <c r="H20" s="57" t="s">
        <v>41</v>
      </c>
      <c r="I20" s="57">
        <v>1399</v>
      </c>
      <c r="J20" s="57" t="s">
        <v>25</v>
      </c>
      <c r="K20" s="241">
        <v>1</v>
      </c>
      <c r="L20" s="57"/>
      <c r="M20" s="690" t="s">
        <v>33</v>
      </c>
      <c r="N20" s="57"/>
      <c r="O20" s="57"/>
      <c r="P20" s="57"/>
    </row>
    <row r="21" spans="1:19" s="256" customFormat="1" ht="72">
      <c r="A21" s="82">
        <v>15</v>
      </c>
      <c r="B21" s="64" t="s">
        <v>75</v>
      </c>
      <c r="C21" s="57"/>
      <c r="D21" s="57" t="s">
        <v>40</v>
      </c>
      <c r="E21" s="353" t="s">
        <v>622</v>
      </c>
      <c r="F21" s="394">
        <v>15852647</v>
      </c>
      <c r="G21" s="57" t="s">
        <v>23</v>
      </c>
      <c r="H21" s="57" t="s">
        <v>41</v>
      </c>
      <c r="I21" s="57">
        <v>1399</v>
      </c>
      <c r="J21" s="57" t="s">
        <v>25</v>
      </c>
      <c r="K21" s="241">
        <v>1</v>
      </c>
      <c r="L21" s="57"/>
      <c r="M21" s="690" t="s">
        <v>33</v>
      </c>
      <c r="N21" s="57"/>
      <c r="O21" s="57"/>
      <c r="P21" s="57"/>
    </row>
    <row r="22" spans="1:19" s="256" customFormat="1" ht="65.45" customHeight="1">
      <c r="A22" s="82">
        <v>16</v>
      </c>
      <c r="B22" s="64" t="s">
        <v>75</v>
      </c>
      <c r="C22" s="57"/>
      <c r="D22" s="57" t="s">
        <v>40</v>
      </c>
      <c r="E22" s="57" t="s">
        <v>249</v>
      </c>
      <c r="F22" s="57" t="s">
        <v>17</v>
      </c>
      <c r="G22" s="57" t="s">
        <v>17</v>
      </c>
      <c r="H22" s="57" t="s">
        <v>17</v>
      </c>
      <c r="I22" s="57">
        <v>1399</v>
      </c>
      <c r="J22" s="57" t="s">
        <v>25</v>
      </c>
      <c r="K22" s="241">
        <v>1</v>
      </c>
      <c r="L22" s="57"/>
      <c r="M22" s="690" t="s">
        <v>33</v>
      </c>
      <c r="N22" s="57"/>
      <c r="O22" s="57"/>
      <c r="P22" s="429" t="s">
        <v>957</v>
      </c>
    </row>
    <row r="23" spans="1:19" s="256" customFormat="1" ht="72">
      <c r="A23" s="82">
        <v>17</v>
      </c>
      <c r="B23" s="64" t="s">
        <v>75</v>
      </c>
      <c r="C23" s="57"/>
      <c r="D23" s="57" t="s">
        <v>40</v>
      </c>
      <c r="E23" s="57" t="s">
        <v>621</v>
      </c>
      <c r="F23" s="57">
        <f>1260* 148</f>
        <v>186480</v>
      </c>
      <c r="G23" s="57" t="s">
        <v>23</v>
      </c>
      <c r="H23" s="57" t="s">
        <v>41</v>
      </c>
      <c r="I23" s="57">
        <v>1399</v>
      </c>
      <c r="J23" s="57" t="s">
        <v>25</v>
      </c>
      <c r="K23" s="269">
        <v>1</v>
      </c>
      <c r="L23" s="57"/>
      <c r="M23" s="690" t="s">
        <v>33</v>
      </c>
      <c r="N23" s="57"/>
      <c r="O23" s="57"/>
      <c r="P23" s="57"/>
    </row>
    <row r="24" spans="1:19" s="256" customFormat="1" ht="120.75" customHeight="1">
      <c r="A24" s="82">
        <v>18</v>
      </c>
      <c r="B24" s="64" t="s">
        <v>75</v>
      </c>
      <c r="C24" s="57"/>
      <c r="D24" s="57" t="s">
        <v>40</v>
      </c>
      <c r="E24" s="353" t="s">
        <v>620</v>
      </c>
      <c r="F24" s="57">
        <f>2*375000</f>
        <v>750000</v>
      </c>
      <c r="G24" s="57" t="s">
        <v>23</v>
      </c>
      <c r="H24" s="57" t="s">
        <v>41</v>
      </c>
      <c r="I24" s="57">
        <v>1399</v>
      </c>
      <c r="J24" s="57" t="s">
        <v>25</v>
      </c>
      <c r="K24" s="269">
        <v>1</v>
      </c>
      <c r="L24" s="57" t="s">
        <v>1828</v>
      </c>
      <c r="M24" s="690" t="s">
        <v>33</v>
      </c>
      <c r="N24" s="452" t="s">
        <v>325</v>
      </c>
      <c r="O24" s="22" t="s">
        <v>959</v>
      </c>
      <c r="P24" s="57"/>
    </row>
    <row r="25" spans="1:19" s="256" customFormat="1" ht="103.5" customHeight="1">
      <c r="A25" s="82">
        <v>19</v>
      </c>
      <c r="B25" s="57" t="s">
        <v>75</v>
      </c>
      <c r="C25" s="57"/>
      <c r="D25" s="57" t="s">
        <v>40</v>
      </c>
      <c r="E25" s="57" t="s">
        <v>238</v>
      </c>
      <c r="F25" s="57">
        <f>28* 22320</f>
        <v>624960</v>
      </c>
      <c r="G25" s="57" t="s">
        <v>23</v>
      </c>
      <c r="H25" s="57" t="s">
        <v>41</v>
      </c>
      <c r="I25" s="57">
        <v>1399</v>
      </c>
      <c r="J25" s="57" t="s">
        <v>25</v>
      </c>
      <c r="K25" s="269">
        <v>1</v>
      </c>
      <c r="L25" s="644" t="s">
        <v>1828</v>
      </c>
      <c r="M25" s="690" t="s">
        <v>33</v>
      </c>
      <c r="N25" s="454" t="s">
        <v>325</v>
      </c>
      <c r="O25" s="22" t="s">
        <v>959</v>
      </c>
      <c r="P25" s="57"/>
    </row>
    <row r="26" spans="1:19" s="256" customFormat="1" ht="72">
      <c r="A26" s="82">
        <v>20</v>
      </c>
      <c r="B26" s="57" t="s">
        <v>75</v>
      </c>
      <c r="C26" s="57"/>
      <c r="D26" s="445" t="s">
        <v>40</v>
      </c>
      <c r="E26" s="353" t="s">
        <v>987</v>
      </c>
      <c r="F26" s="445">
        <v>300000</v>
      </c>
      <c r="G26" s="445" t="s">
        <v>23</v>
      </c>
      <c r="H26" s="445" t="s">
        <v>41</v>
      </c>
      <c r="I26" s="445">
        <v>1399</v>
      </c>
      <c r="J26" s="445" t="s">
        <v>25</v>
      </c>
      <c r="K26" s="269">
        <v>1</v>
      </c>
      <c r="L26" s="445"/>
      <c r="M26" s="690" t="s">
        <v>33</v>
      </c>
      <c r="N26" s="57"/>
      <c r="O26" s="57"/>
      <c r="P26" s="57"/>
    </row>
    <row r="27" spans="1:19" s="256" customFormat="1" ht="72">
      <c r="A27" s="82">
        <v>21</v>
      </c>
      <c r="B27" s="57" t="s">
        <v>75</v>
      </c>
      <c r="C27" s="57"/>
      <c r="D27" s="57" t="s">
        <v>40</v>
      </c>
      <c r="E27" s="57" t="s">
        <v>48</v>
      </c>
      <c r="F27" s="57">
        <f>2* 42514</f>
        <v>85028</v>
      </c>
      <c r="G27" s="57" t="s">
        <v>23</v>
      </c>
      <c r="H27" s="57" t="s">
        <v>41</v>
      </c>
      <c r="I27" s="57">
        <v>1399</v>
      </c>
      <c r="J27" s="57" t="s">
        <v>25</v>
      </c>
      <c r="K27" s="269">
        <v>1</v>
      </c>
      <c r="L27" s="57"/>
      <c r="M27" s="690" t="s">
        <v>33</v>
      </c>
      <c r="N27" s="57"/>
      <c r="O27" s="57"/>
      <c r="P27" s="57"/>
    </row>
    <row r="28" spans="1:19" s="256" customFormat="1" ht="72">
      <c r="A28" s="82">
        <v>22</v>
      </c>
      <c r="B28" s="57" t="s">
        <v>75</v>
      </c>
      <c r="C28" s="57"/>
      <c r="D28" s="57" t="s">
        <v>40</v>
      </c>
      <c r="E28" s="57" t="s">
        <v>234</v>
      </c>
      <c r="F28" s="57">
        <f>500* 315</f>
        <v>157500</v>
      </c>
      <c r="G28" s="57" t="s">
        <v>23</v>
      </c>
      <c r="H28" s="57" t="s">
        <v>41</v>
      </c>
      <c r="I28" s="57">
        <v>1399</v>
      </c>
      <c r="J28" s="57" t="s">
        <v>25</v>
      </c>
      <c r="K28" s="269">
        <v>1</v>
      </c>
      <c r="L28" s="57"/>
      <c r="M28" s="690" t="s">
        <v>33</v>
      </c>
      <c r="N28" s="57"/>
      <c r="O28" s="57"/>
      <c r="P28" s="57"/>
    </row>
    <row r="29" spans="1:19" s="256" customFormat="1" ht="72">
      <c r="A29" s="82">
        <v>23</v>
      </c>
      <c r="B29" s="57" t="s">
        <v>75</v>
      </c>
      <c r="C29" s="57"/>
      <c r="D29" s="57" t="s">
        <v>40</v>
      </c>
      <c r="E29" s="57" t="s">
        <v>411</v>
      </c>
      <c r="F29" s="57">
        <f>4* 45570</f>
        <v>182280</v>
      </c>
      <c r="G29" s="57" t="s">
        <v>23</v>
      </c>
      <c r="H29" s="57" t="s">
        <v>41</v>
      </c>
      <c r="I29" s="57">
        <v>1399</v>
      </c>
      <c r="J29" s="57" t="s">
        <v>25</v>
      </c>
      <c r="K29" s="269">
        <v>1</v>
      </c>
      <c r="L29" s="57"/>
      <c r="M29" s="690" t="s">
        <v>33</v>
      </c>
      <c r="N29" s="57"/>
      <c r="O29" s="57"/>
      <c r="P29" s="57"/>
    </row>
    <row r="30" spans="1:19" s="256" customFormat="1" ht="72">
      <c r="A30" s="82">
        <v>24</v>
      </c>
      <c r="B30" s="57" t="s">
        <v>75</v>
      </c>
      <c r="C30" s="57"/>
      <c r="D30" s="57" t="s">
        <v>40</v>
      </c>
      <c r="E30" s="57" t="s">
        <v>95</v>
      </c>
      <c r="F30" s="57">
        <f>10* 10416</f>
        <v>104160</v>
      </c>
      <c r="G30" s="57" t="s">
        <v>23</v>
      </c>
      <c r="H30" s="57" t="s">
        <v>41</v>
      </c>
      <c r="I30" s="57">
        <v>1399</v>
      </c>
      <c r="J30" s="57" t="s">
        <v>25</v>
      </c>
      <c r="K30" s="269">
        <v>1</v>
      </c>
      <c r="L30" s="57"/>
      <c r="M30" s="690" t="s">
        <v>33</v>
      </c>
      <c r="N30" s="57"/>
      <c r="O30" s="57"/>
      <c r="P30" s="57"/>
    </row>
    <row r="31" spans="1:19" ht="162.6" customHeight="1">
      <c r="A31" s="82">
        <v>25</v>
      </c>
      <c r="B31" s="33" t="s">
        <v>75</v>
      </c>
      <c r="C31" s="43" t="s">
        <v>579</v>
      </c>
      <c r="D31" s="57" t="s">
        <v>54</v>
      </c>
      <c r="E31" s="57" t="s">
        <v>619</v>
      </c>
      <c r="F31" s="272">
        <v>11095384</v>
      </c>
      <c r="G31" s="64" t="s">
        <v>23</v>
      </c>
      <c r="H31" s="64" t="s">
        <v>77</v>
      </c>
      <c r="I31" s="64">
        <v>1399</v>
      </c>
      <c r="J31" s="64" t="s">
        <v>25</v>
      </c>
      <c r="K31" s="269">
        <v>1</v>
      </c>
      <c r="L31" s="57"/>
      <c r="M31" s="690" t="s">
        <v>33</v>
      </c>
      <c r="N31" s="57"/>
      <c r="O31" s="57"/>
      <c r="P31" s="57"/>
      <c r="Q31" s="28"/>
      <c r="R31" s="29"/>
      <c r="S31" s="29"/>
    </row>
    <row r="32" spans="1:19" ht="100.5" customHeight="1">
      <c r="A32" s="82">
        <v>26</v>
      </c>
      <c r="B32" s="32" t="s">
        <v>75</v>
      </c>
      <c r="C32" s="43"/>
      <c r="D32" s="57" t="s">
        <v>76</v>
      </c>
      <c r="E32" s="57" t="s">
        <v>1863</v>
      </c>
      <c r="F32" s="271">
        <v>123135610</v>
      </c>
      <c r="G32" s="64" t="s">
        <v>23</v>
      </c>
      <c r="H32" s="64" t="s">
        <v>77</v>
      </c>
      <c r="I32" s="64">
        <v>1399</v>
      </c>
      <c r="J32" s="64" t="s">
        <v>25</v>
      </c>
      <c r="K32" s="269">
        <v>0.95</v>
      </c>
      <c r="L32" s="64"/>
      <c r="M32" s="690" t="s">
        <v>39</v>
      </c>
      <c r="N32" s="64"/>
      <c r="O32" s="64"/>
      <c r="P32" s="64" t="s">
        <v>1864</v>
      </c>
    </row>
    <row r="33" spans="1:17" s="256" customFormat="1" ht="36">
      <c r="A33" s="82">
        <v>27</v>
      </c>
      <c r="B33" s="466" t="s">
        <v>75</v>
      </c>
      <c r="C33" s="43" t="s">
        <v>1303</v>
      </c>
      <c r="D33" s="871" t="s">
        <v>242</v>
      </c>
      <c r="E33" s="518" t="s">
        <v>1304</v>
      </c>
      <c r="F33" s="566">
        <v>1979700</v>
      </c>
      <c r="G33" s="33" t="s">
        <v>23</v>
      </c>
      <c r="H33" s="33" t="s">
        <v>77</v>
      </c>
      <c r="I33" s="33">
        <v>1399</v>
      </c>
      <c r="J33" s="33" t="s">
        <v>25</v>
      </c>
      <c r="K33" s="269">
        <v>1</v>
      </c>
      <c r="L33" s="466"/>
      <c r="M33" s="690" t="s">
        <v>33</v>
      </c>
      <c r="N33" s="456"/>
      <c r="O33" s="456"/>
      <c r="P33" s="456"/>
      <c r="Q33" s="519"/>
    </row>
    <row r="34" spans="1:17" s="256" customFormat="1" ht="36">
      <c r="A34" s="82">
        <v>28</v>
      </c>
      <c r="B34" s="466" t="s">
        <v>75</v>
      </c>
      <c r="C34" s="43" t="s">
        <v>1303</v>
      </c>
      <c r="D34" s="871"/>
      <c r="E34" s="518" t="s">
        <v>1115</v>
      </c>
      <c r="F34" s="270">
        <v>80000</v>
      </c>
      <c r="G34" s="466" t="s">
        <v>23</v>
      </c>
      <c r="H34" s="466" t="s">
        <v>77</v>
      </c>
      <c r="I34" s="466">
        <v>1399</v>
      </c>
      <c r="J34" s="466" t="s">
        <v>25</v>
      </c>
      <c r="K34" s="269">
        <v>1</v>
      </c>
      <c r="L34" s="466"/>
      <c r="M34" s="690" t="s">
        <v>33</v>
      </c>
      <c r="N34" s="456"/>
      <c r="O34" s="456"/>
      <c r="P34" s="456"/>
      <c r="Q34" s="519"/>
    </row>
    <row r="35" spans="1:17" s="256" customFormat="1" ht="79.900000000000006" customHeight="1">
      <c r="A35" s="82">
        <v>29</v>
      </c>
      <c r="B35" s="466" t="s">
        <v>75</v>
      </c>
      <c r="C35" s="456" t="s">
        <v>1305</v>
      </c>
      <c r="D35" s="456" t="s">
        <v>111</v>
      </c>
      <c r="E35" s="456" t="s">
        <v>1306</v>
      </c>
      <c r="F35" s="456">
        <v>235000</v>
      </c>
      <c r="G35" s="456" t="s">
        <v>23</v>
      </c>
      <c r="H35" s="456" t="s">
        <v>77</v>
      </c>
      <c r="I35" s="456">
        <v>1399</v>
      </c>
      <c r="J35" s="456" t="s">
        <v>25</v>
      </c>
      <c r="K35" s="269">
        <v>1</v>
      </c>
      <c r="L35" s="635"/>
      <c r="M35" s="690" t="s">
        <v>33</v>
      </c>
      <c r="N35" s="456"/>
      <c r="O35" s="456"/>
      <c r="P35" s="456"/>
      <c r="Q35" s="520"/>
    </row>
    <row r="36" spans="1:17" s="256" customFormat="1" ht="54">
      <c r="A36" s="82">
        <v>30</v>
      </c>
      <c r="B36" s="466" t="s">
        <v>75</v>
      </c>
      <c r="C36" s="456" t="s">
        <v>1009</v>
      </c>
      <c r="D36" s="456" t="s">
        <v>111</v>
      </c>
      <c r="E36" s="456" t="s">
        <v>1307</v>
      </c>
      <c r="F36" s="456">
        <v>229800</v>
      </c>
      <c r="G36" s="456" t="s">
        <v>23</v>
      </c>
      <c r="H36" s="456" t="s">
        <v>77</v>
      </c>
      <c r="I36" s="456">
        <v>1399</v>
      </c>
      <c r="J36" s="456" t="s">
        <v>25</v>
      </c>
      <c r="K36" s="269">
        <v>1</v>
      </c>
      <c r="L36" s="635"/>
      <c r="M36" s="690" t="s">
        <v>33</v>
      </c>
      <c r="N36" s="456"/>
      <c r="O36" s="456"/>
      <c r="P36" s="456"/>
      <c r="Q36" s="519"/>
    </row>
    <row r="37" spans="1:17" s="256" customFormat="1" ht="72">
      <c r="A37" s="82">
        <v>31</v>
      </c>
      <c r="B37" s="456" t="s">
        <v>75</v>
      </c>
      <c r="C37" s="635" t="s">
        <v>1308</v>
      </c>
      <c r="D37" s="635" t="s">
        <v>500</v>
      </c>
      <c r="E37" s="635" t="s">
        <v>1309</v>
      </c>
      <c r="F37" s="635">
        <v>3544839</v>
      </c>
      <c r="G37" s="635" t="s">
        <v>23</v>
      </c>
      <c r="H37" s="635" t="s">
        <v>393</v>
      </c>
      <c r="I37" s="635">
        <v>1399</v>
      </c>
      <c r="J37" s="635" t="s">
        <v>25</v>
      </c>
      <c r="K37" s="754">
        <v>1</v>
      </c>
      <c r="L37" s="521"/>
      <c r="M37" s="33" t="s">
        <v>370</v>
      </c>
      <c r="N37" s="635"/>
      <c r="O37" s="635"/>
      <c r="P37" s="635"/>
      <c r="Q37" s="519"/>
    </row>
    <row r="38" spans="1:17" s="256" customFormat="1" ht="63.6" customHeight="1">
      <c r="A38" s="82">
        <v>32</v>
      </c>
      <c r="B38" s="456" t="s">
        <v>75</v>
      </c>
      <c r="C38" s="635" t="s">
        <v>1308</v>
      </c>
      <c r="D38" s="635" t="s">
        <v>500</v>
      </c>
      <c r="E38" s="635" t="s">
        <v>1310</v>
      </c>
      <c r="F38" s="635">
        <v>21256700</v>
      </c>
      <c r="G38" s="635" t="s">
        <v>23</v>
      </c>
      <c r="H38" s="635" t="s">
        <v>393</v>
      </c>
      <c r="I38" s="635">
        <v>1399</v>
      </c>
      <c r="J38" s="635" t="s">
        <v>25</v>
      </c>
      <c r="K38" s="754">
        <v>1</v>
      </c>
      <c r="L38" s="521"/>
      <c r="M38" s="33" t="s">
        <v>370</v>
      </c>
      <c r="N38" s="635"/>
      <c r="O38" s="635"/>
      <c r="P38" s="635"/>
      <c r="Q38" s="519"/>
    </row>
    <row r="39" spans="1:17" s="256" customFormat="1" ht="72">
      <c r="A39" s="82">
        <v>33</v>
      </c>
      <c r="B39" s="456" t="s">
        <v>75</v>
      </c>
      <c r="C39" s="635" t="s">
        <v>1311</v>
      </c>
      <c r="D39" s="635" t="s">
        <v>500</v>
      </c>
      <c r="E39" s="635" t="s">
        <v>1312</v>
      </c>
      <c r="F39" s="635">
        <v>24620550</v>
      </c>
      <c r="G39" s="635" t="s">
        <v>23</v>
      </c>
      <c r="H39" s="635" t="s">
        <v>393</v>
      </c>
      <c r="I39" s="635">
        <v>1399</v>
      </c>
      <c r="J39" s="635" t="s">
        <v>25</v>
      </c>
      <c r="K39" s="754">
        <v>1</v>
      </c>
      <c r="L39" s="635"/>
      <c r="M39" s="33" t="s">
        <v>370</v>
      </c>
      <c r="N39" s="635"/>
      <c r="O39" s="635"/>
      <c r="P39" s="635"/>
      <c r="Q39" s="519"/>
    </row>
    <row r="40" spans="1:17" s="256" customFormat="1" ht="72">
      <c r="A40" s="82">
        <v>34</v>
      </c>
      <c r="B40" s="456" t="s">
        <v>75</v>
      </c>
      <c r="C40" s="635" t="s">
        <v>1311</v>
      </c>
      <c r="D40" s="635" t="s">
        <v>500</v>
      </c>
      <c r="E40" s="635" t="s">
        <v>401</v>
      </c>
      <c r="F40" s="635">
        <v>4424000</v>
      </c>
      <c r="G40" s="635" t="s">
        <v>23</v>
      </c>
      <c r="H40" s="635" t="s">
        <v>393</v>
      </c>
      <c r="I40" s="635">
        <v>1399</v>
      </c>
      <c r="J40" s="635" t="s">
        <v>25</v>
      </c>
      <c r="K40" s="754">
        <v>1</v>
      </c>
      <c r="L40" s="635"/>
      <c r="M40" s="33" t="s">
        <v>71</v>
      </c>
      <c r="N40" s="635"/>
      <c r="O40" s="635"/>
      <c r="P40" s="635"/>
      <c r="Q40" s="519"/>
    </row>
    <row r="41" spans="1:17" s="256" customFormat="1" ht="57" customHeight="1">
      <c r="A41" s="82">
        <v>35</v>
      </c>
      <c r="B41" s="456" t="s">
        <v>75</v>
      </c>
      <c r="C41" s="635"/>
      <c r="D41" s="635" t="s">
        <v>500</v>
      </c>
      <c r="E41" s="635" t="s">
        <v>1153</v>
      </c>
      <c r="F41" s="635">
        <v>4812500</v>
      </c>
      <c r="G41" s="635" t="s">
        <v>23</v>
      </c>
      <c r="H41" s="635" t="s">
        <v>393</v>
      </c>
      <c r="I41" s="635">
        <v>1400</v>
      </c>
      <c r="J41" s="635" t="s">
        <v>25</v>
      </c>
      <c r="K41" s="665"/>
      <c r="L41" s="635" t="s">
        <v>3</v>
      </c>
      <c r="M41" s="635"/>
      <c r="N41" s="635" t="s">
        <v>1313</v>
      </c>
      <c r="O41" s="635" t="s">
        <v>216</v>
      </c>
      <c r="P41" s="635"/>
    </row>
    <row r="42" spans="1:17" s="256" customFormat="1" ht="72">
      <c r="A42" s="82">
        <v>36</v>
      </c>
      <c r="B42" s="456" t="s">
        <v>75</v>
      </c>
      <c r="C42" s="635"/>
      <c r="D42" s="635" t="s">
        <v>500</v>
      </c>
      <c r="E42" s="635" t="s">
        <v>502</v>
      </c>
      <c r="F42" s="635">
        <v>1540000</v>
      </c>
      <c r="G42" s="635" t="s">
        <v>23</v>
      </c>
      <c r="H42" s="635" t="s">
        <v>393</v>
      </c>
      <c r="I42" s="635">
        <v>1400</v>
      </c>
      <c r="J42" s="635" t="s">
        <v>25</v>
      </c>
      <c r="K42" s="665"/>
      <c r="L42" s="635" t="s">
        <v>3</v>
      </c>
      <c r="M42" s="635"/>
      <c r="N42" s="635" t="s">
        <v>1313</v>
      </c>
      <c r="O42" s="635" t="s">
        <v>216</v>
      </c>
      <c r="P42" s="635"/>
    </row>
    <row r="43" spans="1:17" s="256" customFormat="1" ht="72">
      <c r="A43" s="82">
        <v>37</v>
      </c>
      <c r="B43" s="456" t="s">
        <v>75</v>
      </c>
      <c r="C43" s="635"/>
      <c r="D43" s="635" t="s">
        <v>500</v>
      </c>
      <c r="E43" s="635" t="s">
        <v>501</v>
      </c>
      <c r="F43" s="635">
        <v>1540000</v>
      </c>
      <c r="G43" s="635" t="s">
        <v>23</v>
      </c>
      <c r="H43" s="635" t="s">
        <v>393</v>
      </c>
      <c r="I43" s="635">
        <v>1400</v>
      </c>
      <c r="J43" s="635" t="s">
        <v>25</v>
      </c>
      <c r="K43" s="665"/>
      <c r="L43" s="635" t="s">
        <v>3</v>
      </c>
      <c r="M43" s="635"/>
      <c r="N43" s="635" t="s">
        <v>1313</v>
      </c>
      <c r="O43" s="635" t="s">
        <v>216</v>
      </c>
      <c r="P43" s="635"/>
    </row>
    <row r="44" spans="1:17" s="256" customFormat="1" ht="72">
      <c r="A44" s="82">
        <v>38</v>
      </c>
      <c r="B44" s="456" t="s">
        <v>75</v>
      </c>
      <c r="C44" s="635"/>
      <c r="D44" s="635" t="s">
        <v>500</v>
      </c>
      <c r="E44" s="635" t="s">
        <v>1314</v>
      </c>
      <c r="F44" s="635">
        <v>4620000</v>
      </c>
      <c r="G44" s="635" t="s">
        <v>23</v>
      </c>
      <c r="H44" s="635" t="s">
        <v>393</v>
      </c>
      <c r="I44" s="635">
        <v>1399</v>
      </c>
      <c r="J44" s="635" t="s">
        <v>25</v>
      </c>
      <c r="K44" s="665" t="s">
        <v>17</v>
      </c>
      <c r="L44" s="635" t="s">
        <v>3</v>
      </c>
      <c r="M44" s="273"/>
      <c r="N44" s="635" t="s">
        <v>1315</v>
      </c>
      <c r="O44" s="635" t="s">
        <v>216</v>
      </c>
      <c r="P44" s="635"/>
    </row>
    <row r="45" spans="1:17" s="256" customFormat="1" ht="60.6" customHeight="1">
      <c r="A45" s="82">
        <v>39</v>
      </c>
      <c r="B45" s="466" t="s">
        <v>75</v>
      </c>
      <c r="C45" s="32"/>
      <c r="D45" s="635" t="s">
        <v>500</v>
      </c>
      <c r="E45" s="40" t="s">
        <v>400</v>
      </c>
      <c r="F45" s="870" t="s">
        <v>399</v>
      </c>
      <c r="G45" s="33" t="s">
        <v>23</v>
      </c>
      <c r="H45" s="33" t="s">
        <v>393</v>
      </c>
      <c r="I45" s="33">
        <v>1399</v>
      </c>
      <c r="J45" s="33" t="s">
        <v>25</v>
      </c>
      <c r="K45" s="665">
        <v>0.05</v>
      </c>
      <c r="L45" s="33"/>
      <c r="M45" s="33" t="s">
        <v>39</v>
      </c>
      <c r="N45" s="635"/>
      <c r="O45" s="660"/>
      <c r="P45" s="794" t="s">
        <v>1121</v>
      </c>
    </row>
    <row r="46" spans="1:17" s="256" customFormat="1" ht="72">
      <c r="A46" s="82">
        <v>40</v>
      </c>
      <c r="B46" s="466" t="s">
        <v>75</v>
      </c>
      <c r="C46" s="32"/>
      <c r="D46" s="635" t="s">
        <v>500</v>
      </c>
      <c r="E46" s="40" t="s">
        <v>398</v>
      </c>
      <c r="F46" s="870"/>
      <c r="G46" s="33" t="s">
        <v>23</v>
      </c>
      <c r="H46" s="33" t="s">
        <v>393</v>
      </c>
      <c r="I46" s="33">
        <v>1399</v>
      </c>
      <c r="J46" s="33" t="s">
        <v>25</v>
      </c>
      <c r="K46" s="665">
        <v>0.05</v>
      </c>
      <c r="L46" s="33"/>
      <c r="M46" s="33" t="s">
        <v>39</v>
      </c>
      <c r="N46" s="635"/>
      <c r="O46" s="635"/>
      <c r="P46" s="795"/>
    </row>
    <row r="47" spans="1:17" s="256" customFormat="1" ht="72">
      <c r="A47" s="82">
        <v>41</v>
      </c>
      <c r="B47" s="466" t="s">
        <v>75</v>
      </c>
      <c r="C47" s="32"/>
      <c r="D47" s="635" t="s">
        <v>500</v>
      </c>
      <c r="E47" s="40" t="s">
        <v>397</v>
      </c>
      <c r="F47" s="870"/>
      <c r="G47" s="33" t="s">
        <v>23</v>
      </c>
      <c r="H47" s="33" t="s">
        <v>393</v>
      </c>
      <c r="I47" s="33">
        <v>1399</v>
      </c>
      <c r="J47" s="33" t="s">
        <v>25</v>
      </c>
      <c r="K47" s="665">
        <v>0.05</v>
      </c>
      <c r="L47" s="33"/>
      <c r="M47" s="33" t="s">
        <v>39</v>
      </c>
      <c r="N47" s="635"/>
      <c r="O47" s="635"/>
      <c r="P47" s="666" t="s">
        <v>1970</v>
      </c>
    </row>
    <row r="48" spans="1:17" s="256" customFormat="1" ht="105">
      <c r="A48" s="82">
        <v>42</v>
      </c>
      <c r="B48" s="466" t="s">
        <v>75</v>
      </c>
      <c r="C48" s="32"/>
      <c r="D48" s="635" t="s">
        <v>500</v>
      </c>
      <c r="E48" s="40" t="s">
        <v>396</v>
      </c>
      <c r="F48" s="870"/>
      <c r="G48" s="33" t="s">
        <v>23</v>
      </c>
      <c r="H48" s="33" t="s">
        <v>393</v>
      </c>
      <c r="I48" s="33">
        <v>1399</v>
      </c>
      <c r="J48" s="33" t="s">
        <v>25</v>
      </c>
      <c r="K48" s="665">
        <v>0.15</v>
      </c>
      <c r="L48" s="33"/>
      <c r="M48" s="33" t="s">
        <v>39</v>
      </c>
      <c r="N48" s="635"/>
      <c r="O48" s="635"/>
      <c r="P48" s="667" t="s">
        <v>1244</v>
      </c>
    </row>
    <row r="49" spans="1:16" s="256" customFormat="1" ht="72">
      <c r="A49" s="82">
        <v>43</v>
      </c>
      <c r="B49" s="466" t="s">
        <v>75</v>
      </c>
      <c r="C49" s="32"/>
      <c r="D49" s="635" t="s">
        <v>500</v>
      </c>
      <c r="E49" s="40" t="s">
        <v>395</v>
      </c>
      <c r="F49" s="870"/>
      <c r="G49" s="33" t="s">
        <v>23</v>
      </c>
      <c r="H49" s="33" t="s">
        <v>393</v>
      </c>
      <c r="I49" s="33">
        <v>1399</v>
      </c>
      <c r="J49" s="33" t="s">
        <v>25</v>
      </c>
      <c r="K49" s="665">
        <v>0.05</v>
      </c>
      <c r="L49" s="33"/>
      <c r="M49" s="33" t="s">
        <v>39</v>
      </c>
      <c r="N49" s="635"/>
      <c r="O49" s="635"/>
      <c r="P49" s="660" t="s">
        <v>1136</v>
      </c>
    </row>
    <row r="50" spans="1:16" s="256" customFormat="1" ht="66.75" customHeight="1">
      <c r="A50" s="82">
        <v>44</v>
      </c>
      <c r="B50" s="466" t="s">
        <v>75</v>
      </c>
      <c r="C50" s="32"/>
      <c r="D50" s="635" t="s">
        <v>500</v>
      </c>
      <c r="E50" s="40" t="s">
        <v>394</v>
      </c>
      <c r="F50" s="870"/>
      <c r="G50" s="33" t="s">
        <v>23</v>
      </c>
      <c r="H50" s="33" t="s">
        <v>393</v>
      </c>
      <c r="I50" s="33">
        <v>1399</v>
      </c>
      <c r="J50" s="33" t="s">
        <v>25</v>
      </c>
      <c r="K50" s="665">
        <v>0.05</v>
      </c>
      <c r="L50" s="33"/>
      <c r="M50" s="33" t="s">
        <v>39</v>
      </c>
      <c r="N50" s="635"/>
      <c r="O50" s="635"/>
      <c r="P50" s="660" t="s">
        <v>1136</v>
      </c>
    </row>
    <row r="51" spans="1:16" s="461" customFormat="1" ht="126" customHeight="1">
      <c r="A51" s="82">
        <v>45</v>
      </c>
      <c r="B51" s="522" t="s">
        <v>1316</v>
      </c>
      <c r="C51" s="523" t="s">
        <v>1317</v>
      </c>
      <c r="D51" s="43" t="s">
        <v>1318</v>
      </c>
      <c r="E51" s="456" t="s">
        <v>1319</v>
      </c>
      <c r="F51" s="456"/>
      <c r="G51" s="270"/>
      <c r="H51" s="466" t="s">
        <v>1318</v>
      </c>
      <c r="I51" s="466">
        <v>2017</v>
      </c>
      <c r="J51" s="466" t="s">
        <v>1320</v>
      </c>
      <c r="K51" s="524">
        <v>1</v>
      </c>
      <c r="L51" s="269"/>
      <c r="M51" s="456" t="s">
        <v>1862</v>
      </c>
      <c r="N51" s="466"/>
      <c r="O51" s="456" t="s">
        <v>1321</v>
      </c>
      <c r="P51" s="873" t="s">
        <v>1476</v>
      </c>
    </row>
    <row r="52" spans="1:16" s="461" customFormat="1" ht="54">
      <c r="A52" s="82">
        <v>46</v>
      </c>
      <c r="B52" s="522" t="s">
        <v>1316</v>
      </c>
      <c r="C52" s="523" t="s">
        <v>1317</v>
      </c>
      <c r="D52" s="43" t="s">
        <v>1322</v>
      </c>
      <c r="E52" s="456" t="s">
        <v>1323</v>
      </c>
      <c r="F52" s="456"/>
      <c r="G52" s="270"/>
      <c r="H52" s="466" t="s">
        <v>1318</v>
      </c>
      <c r="I52" s="466">
        <v>2018</v>
      </c>
      <c r="J52" s="466" t="s">
        <v>1320</v>
      </c>
      <c r="K52" s="524">
        <v>1</v>
      </c>
      <c r="L52" s="269"/>
      <c r="M52" s="693" t="s">
        <v>1862</v>
      </c>
      <c r="N52" s="466"/>
      <c r="O52" s="456"/>
      <c r="P52" s="874"/>
    </row>
    <row r="53" spans="1:16" s="461" customFormat="1" ht="54">
      <c r="A53" s="82">
        <v>47</v>
      </c>
      <c r="B53" s="522" t="s">
        <v>1316</v>
      </c>
      <c r="C53" s="523" t="s">
        <v>1324</v>
      </c>
      <c r="D53" s="43" t="s">
        <v>1322</v>
      </c>
      <c r="E53" s="456" t="s">
        <v>1325</v>
      </c>
      <c r="F53" s="456"/>
      <c r="G53" s="270"/>
      <c r="H53" s="466" t="s">
        <v>1318</v>
      </c>
      <c r="I53" s="466">
        <v>2018</v>
      </c>
      <c r="J53" s="466" t="s">
        <v>1320</v>
      </c>
      <c r="K53" s="524">
        <v>1</v>
      </c>
      <c r="L53" s="269"/>
      <c r="M53" s="693" t="s">
        <v>1862</v>
      </c>
      <c r="N53" s="466"/>
      <c r="O53" s="456"/>
      <c r="P53" s="874"/>
    </row>
    <row r="54" spans="1:16" s="461" customFormat="1" ht="54">
      <c r="A54" s="82">
        <v>48</v>
      </c>
      <c r="B54" s="522" t="s">
        <v>1316</v>
      </c>
      <c r="C54" s="523" t="s">
        <v>1326</v>
      </c>
      <c r="D54" s="43" t="s">
        <v>1322</v>
      </c>
      <c r="E54" s="456" t="s">
        <v>1327</v>
      </c>
      <c r="F54" s="456"/>
      <c r="G54" s="270"/>
      <c r="H54" s="466" t="s">
        <v>1318</v>
      </c>
      <c r="I54" s="466">
        <v>2018</v>
      </c>
      <c r="J54" s="466" t="s">
        <v>1320</v>
      </c>
      <c r="K54" s="524">
        <v>1</v>
      </c>
      <c r="L54" s="269"/>
      <c r="M54" s="693" t="s">
        <v>1862</v>
      </c>
      <c r="N54" s="466"/>
      <c r="O54" s="456"/>
      <c r="P54" s="874"/>
    </row>
    <row r="55" spans="1:16" s="461" customFormat="1" ht="60">
      <c r="A55" s="82">
        <v>49</v>
      </c>
      <c r="B55" s="522" t="s">
        <v>1316</v>
      </c>
      <c r="C55" s="523" t="s">
        <v>1328</v>
      </c>
      <c r="D55" s="43" t="s">
        <v>1322</v>
      </c>
      <c r="E55" s="456" t="s">
        <v>1329</v>
      </c>
      <c r="F55" s="456"/>
      <c r="G55" s="270"/>
      <c r="H55" s="466" t="s">
        <v>1318</v>
      </c>
      <c r="I55" s="466">
        <v>2018</v>
      </c>
      <c r="J55" s="466" t="s">
        <v>1320</v>
      </c>
      <c r="K55" s="524">
        <v>1</v>
      </c>
      <c r="L55" s="269"/>
      <c r="M55" s="693" t="s">
        <v>1862</v>
      </c>
      <c r="N55" s="466"/>
      <c r="O55" s="456"/>
      <c r="P55" s="874"/>
    </row>
    <row r="56" spans="1:16" s="461" customFormat="1" ht="60">
      <c r="A56" s="82">
        <v>50</v>
      </c>
      <c r="B56" s="522" t="s">
        <v>1316</v>
      </c>
      <c r="C56" s="523" t="s">
        <v>1330</v>
      </c>
      <c r="D56" s="43" t="s">
        <v>1322</v>
      </c>
      <c r="E56" s="456" t="s">
        <v>1331</v>
      </c>
      <c r="F56" s="456"/>
      <c r="G56" s="270"/>
      <c r="H56" s="466" t="s">
        <v>1318</v>
      </c>
      <c r="I56" s="466">
        <v>2020</v>
      </c>
      <c r="J56" s="466" t="s">
        <v>1320</v>
      </c>
      <c r="K56" s="524">
        <v>1</v>
      </c>
      <c r="L56" s="269"/>
      <c r="M56" s="693" t="s">
        <v>1862</v>
      </c>
      <c r="N56" s="466"/>
      <c r="O56" s="456"/>
      <c r="P56" s="874"/>
    </row>
    <row r="57" spans="1:16" s="461" customFormat="1" ht="60">
      <c r="A57" s="82">
        <v>51</v>
      </c>
      <c r="B57" s="522" t="s">
        <v>1316</v>
      </c>
      <c r="C57" s="523" t="s">
        <v>1332</v>
      </c>
      <c r="D57" s="43" t="s">
        <v>1322</v>
      </c>
      <c r="E57" s="456" t="s">
        <v>1333</v>
      </c>
      <c r="F57" s="456"/>
      <c r="G57" s="270"/>
      <c r="H57" s="466" t="s">
        <v>1318</v>
      </c>
      <c r="I57" s="466">
        <v>2017</v>
      </c>
      <c r="J57" s="466" t="s">
        <v>1320</v>
      </c>
      <c r="K57" s="524">
        <v>1</v>
      </c>
      <c r="L57" s="269" t="s">
        <v>3</v>
      </c>
      <c r="M57" s="693" t="s">
        <v>1862</v>
      </c>
      <c r="N57" s="466" t="s">
        <v>1334</v>
      </c>
      <c r="O57" s="456" t="s">
        <v>147</v>
      </c>
      <c r="P57" s="874"/>
    </row>
    <row r="58" spans="1:16" s="461" customFormat="1" ht="75">
      <c r="A58" s="82">
        <v>52</v>
      </c>
      <c r="B58" s="522" t="s">
        <v>1316</v>
      </c>
      <c r="C58" s="525" t="s">
        <v>1335</v>
      </c>
      <c r="D58" s="43" t="s">
        <v>1322</v>
      </c>
      <c r="E58" s="456" t="s">
        <v>1336</v>
      </c>
      <c r="F58" s="456"/>
      <c r="G58" s="270"/>
      <c r="H58" s="466" t="s">
        <v>1318</v>
      </c>
      <c r="I58" s="466">
        <v>2018</v>
      </c>
      <c r="J58" s="466" t="s">
        <v>1320</v>
      </c>
      <c r="K58" s="524">
        <v>1</v>
      </c>
      <c r="L58" s="269"/>
      <c r="M58" s="693" t="s">
        <v>1862</v>
      </c>
      <c r="N58" s="466"/>
      <c r="O58" s="456"/>
      <c r="P58" s="874"/>
    </row>
    <row r="59" spans="1:16" s="461" customFormat="1" ht="54">
      <c r="A59" s="82">
        <v>53</v>
      </c>
      <c r="B59" s="522" t="s">
        <v>1316</v>
      </c>
      <c r="C59" s="525" t="s">
        <v>1337</v>
      </c>
      <c r="D59" s="43" t="s">
        <v>1322</v>
      </c>
      <c r="E59" s="456" t="s">
        <v>1338</v>
      </c>
      <c r="F59" s="456"/>
      <c r="G59" s="270"/>
      <c r="H59" s="466" t="s">
        <v>1318</v>
      </c>
      <c r="I59" s="466">
        <v>2018</v>
      </c>
      <c r="J59" s="466" t="s">
        <v>1320</v>
      </c>
      <c r="K59" s="524">
        <v>1</v>
      </c>
      <c r="L59" s="269"/>
      <c r="M59" s="693" t="s">
        <v>1862</v>
      </c>
      <c r="N59" s="466"/>
      <c r="O59" s="456"/>
      <c r="P59" s="874"/>
    </row>
    <row r="60" spans="1:16" s="461" customFormat="1" ht="54">
      <c r="A60" s="82">
        <v>54</v>
      </c>
      <c r="B60" s="522" t="s">
        <v>1316</v>
      </c>
      <c r="C60" s="525" t="s">
        <v>1339</v>
      </c>
      <c r="D60" s="43" t="s">
        <v>1322</v>
      </c>
      <c r="E60" s="456" t="s">
        <v>1340</v>
      </c>
      <c r="F60" s="456"/>
      <c r="G60" s="270"/>
      <c r="H60" s="466" t="s">
        <v>1318</v>
      </c>
      <c r="I60" s="466">
        <v>2019</v>
      </c>
      <c r="J60" s="466" t="s">
        <v>1320</v>
      </c>
      <c r="K60" s="524">
        <v>1</v>
      </c>
      <c r="L60" s="269"/>
      <c r="M60" s="693" t="s">
        <v>1862</v>
      </c>
      <c r="N60" s="466"/>
      <c r="O60" s="456"/>
      <c r="P60" s="874"/>
    </row>
    <row r="61" spans="1:16" s="461" customFormat="1" ht="54">
      <c r="A61" s="82">
        <v>55</v>
      </c>
      <c r="B61" s="522" t="s">
        <v>1316</v>
      </c>
      <c r="C61" s="525" t="s">
        <v>1341</v>
      </c>
      <c r="D61" s="43" t="s">
        <v>1322</v>
      </c>
      <c r="E61" s="456" t="s">
        <v>1342</v>
      </c>
      <c r="F61" s="456"/>
      <c r="G61" s="270"/>
      <c r="H61" s="466" t="s">
        <v>1318</v>
      </c>
      <c r="I61" s="466">
        <v>2018</v>
      </c>
      <c r="J61" s="466" t="s">
        <v>1320</v>
      </c>
      <c r="K61" s="524">
        <v>1</v>
      </c>
      <c r="L61" s="269"/>
      <c r="M61" s="693" t="s">
        <v>1862</v>
      </c>
      <c r="N61" s="466"/>
      <c r="O61" s="456"/>
      <c r="P61" s="874"/>
    </row>
    <row r="62" spans="1:16" s="461" customFormat="1" ht="54">
      <c r="A62" s="82">
        <v>56</v>
      </c>
      <c r="B62" s="522" t="s">
        <v>1316</v>
      </c>
      <c r="C62" s="525" t="s">
        <v>1337</v>
      </c>
      <c r="D62" s="43" t="s">
        <v>1322</v>
      </c>
      <c r="E62" s="456" t="s">
        <v>1343</v>
      </c>
      <c r="F62" s="456"/>
      <c r="G62" s="270"/>
      <c r="H62" s="466" t="s">
        <v>1318</v>
      </c>
      <c r="I62" s="466">
        <v>2018</v>
      </c>
      <c r="J62" s="466" t="s">
        <v>1320</v>
      </c>
      <c r="K62" s="524">
        <v>1</v>
      </c>
      <c r="L62" s="269"/>
      <c r="M62" s="693" t="s">
        <v>1862</v>
      </c>
      <c r="N62" s="466"/>
      <c r="O62" s="456"/>
      <c r="P62" s="874"/>
    </row>
    <row r="63" spans="1:16" s="461" customFormat="1" ht="54">
      <c r="A63" s="82">
        <v>57</v>
      </c>
      <c r="B63" s="522" t="s">
        <v>1316</v>
      </c>
      <c r="C63" s="525" t="s">
        <v>1344</v>
      </c>
      <c r="D63" s="43" t="s">
        <v>1322</v>
      </c>
      <c r="E63" s="456" t="s">
        <v>1345</v>
      </c>
      <c r="F63" s="456"/>
      <c r="G63" s="270"/>
      <c r="H63" s="466" t="s">
        <v>1318</v>
      </c>
      <c r="I63" s="466">
        <v>2019</v>
      </c>
      <c r="J63" s="466" t="s">
        <v>1320</v>
      </c>
      <c r="K63" s="524">
        <v>1</v>
      </c>
      <c r="L63" s="269"/>
      <c r="M63" s="693" t="s">
        <v>1862</v>
      </c>
      <c r="N63" s="466"/>
      <c r="O63" s="456"/>
      <c r="P63" s="874"/>
    </row>
    <row r="64" spans="1:16" s="461" customFormat="1" ht="54">
      <c r="A64" s="82">
        <v>58</v>
      </c>
      <c r="B64" s="522" t="s">
        <v>1316</v>
      </c>
      <c r="C64" s="525" t="s">
        <v>1346</v>
      </c>
      <c r="D64" s="43" t="s">
        <v>1322</v>
      </c>
      <c r="E64" s="456" t="s">
        <v>1347</v>
      </c>
      <c r="F64" s="456"/>
      <c r="G64" s="270"/>
      <c r="H64" s="466" t="s">
        <v>1318</v>
      </c>
      <c r="I64" s="466">
        <v>2019</v>
      </c>
      <c r="J64" s="466" t="s">
        <v>1320</v>
      </c>
      <c r="K64" s="524">
        <v>1</v>
      </c>
      <c r="L64" s="269"/>
      <c r="M64" s="693" t="s">
        <v>1862</v>
      </c>
      <c r="N64" s="466"/>
      <c r="O64" s="456"/>
      <c r="P64" s="874"/>
    </row>
    <row r="65" spans="1:23" s="461" customFormat="1" ht="54">
      <c r="A65" s="82">
        <v>59</v>
      </c>
      <c r="B65" s="522" t="s">
        <v>1316</v>
      </c>
      <c r="C65" s="525" t="s">
        <v>1341</v>
      </c>
      <c r="D65" s="43" t="s">
        <v>1322</v>
      </c>
      <c r="E65" s="456" t="s">
        <v>1348</v>
      </c>
      <c r="F65" s="456"/>
      <c r="G65" s="270"/>
      <c r="H65" s="466" t="s">
        <v>1318</v>
      </c>
      <c r="I65" s="466">
        <v>2017</v>
      </c>
      <c r="J65" s="466" t="s">
        <v>1320</v>
      </c>
      <c r="K65" s="524">
        <v>1</v>
      </c>
      <c r="L65" s="269"/>
      <c r="M65" s="693" t="s">
        <v>1862</v>
      </c>
      <c r="N65" s="466"/>
      <c r="O65" s="456"/>
      <c r="P65" s="874"/>
    </row>
    <row r="66" spans="1:23" s="461" customFormat="1" ht="54">
      <c r="A66" s="82">
        <v>60</v>
      </c>
      <c r="B66" s="522" t="s">
        <v>1316</v>
      </c>
      <c r="C66" s="523" t="s">
        <v>1349</v>
      </c>
      <c r="D66" s="43" t="s">
        <v>1322</v>
      </c>
      <c r="E66" s="456" t="s">
        <v>1350</v>
      </c>
      <c r="F66" s="456"/>
      <c r="G66" s="270"/>
      <c r="H66" s="466" t="s">
        <v>1318</v>
      </c>
      <c r="I66" s="466">
        <v>2020</v>
      </c>
      <c r="J66" s="466" t="s">
        <v>1320</v>
      </c>
      <c r="K66" s="524">
        <v>1</v>
      </c>
      <c r="L66" s="269"/>
      <c r="M66" s="693" t="s">
        <v>1862</v>
      </c>
      <c r="N66" s="466"/>
      <c r="O66" s="456"/>
      <c r="P66" s="874"/>
    </row>
    <row r="67" spans="1:23" s="461" customFormat="1" ht="54">
      <c r="A67" s="82">
        <v>61</v>
      </c>
      <c r="B67" s="522" t="s">
        <v>1316</v>
      </c>
      <c r="C67" s="523" t="s">
        <v>1351</v>
      </c>
      <c r="D67" s="43" t="s">
        <v>1322</v>
      </c>
      <c r="E67" s="456" t="s">
        <v>1352</v>
      </c>
      <c r="F67" s="456"/>
      <c r="G67" s="270"/>
      <c r="H67" s="466" t="s">
        <v>1318</v>
      </c>
      <c r="I67" s="466">
        <v>2020</v>
      </c>
      <c r="J67" s="466" t="s">
        <v>1320</v>
      </c>
      <c r="K67" s="524">
        <v>1</v>
      </c>
      <c r="L67" s="269"/>
      <c r="M67" s="693" t="s">
        <v>1862</v>
      </c>
      <c r="N67" s="466"/>
      <c r="O67" s="456"/>
      <c r="P67" s="874"/>
    </row>
    <row r="68" spans="1:23" s="461" customFormat="1" ht="54">
      <c r="A68" s="82">
        <v>62</v>
      </c>
      <c r="B68" s="522" t="s">
        <v>1316</v>
      </c>
      <c r="C68" s="523" t="s">
        <v>1353</v>
      </c>
      <c r="D68" s="43" t="s">
        <v>1322</v>
      </c>
      <c r="E68" s="456" t="s">
        <v>1354</v>
      </c>
      <c r="F68" s="456"/>
      <c r="G68" s="270"/>
      <c r="H68" s="466" t="s">
        <v>1318</v>
      </c>
      <c r="I68" s="466">
        <v>2020</v>
      </c>
      <c r="J68" s="466" t="s">
        <v>1320</v>
      </c>
      <c r="K68" s="524">
        <v>1</v>
      </c>
      <c r="L68" s="269"/>
      <c r="M68" s="693" t="s">
        <v>1862</v>
      </c>
      <c r="N68" s="466"/>
      <c r="O68" s="456"/>
      <c r="P68" s="874"/>
    </row>
    <row r="69" spans="1:23" s="461" customFormat="1" ht="54">
      <c r="A69" s="82">
        <v>63</v>
      </c>
      <c r="B69" s="522" t="s">
        <v>1316</v>
      </c>
      <c r="C69" s="523" t="s">
        <v>1355</v>
      </c>
      <c r="D69" s="43" t="s">
        <v>1322</v>
      </c>
      <c r="E69" s="456" t="s">
        <v>1356</v>
      </c>
      <c r="F69" s="456"/>
      <c r="G69" s="270"/>
      <c r="H69" s="466" t="s">
        <v>1318</v>
      </c>
      <c r="I69" s="466">
        <v>2020</v>
      </c>
      <c r="J69" s="466" t="s">
        <v>1320</v>
      </c>
      <c r="K69" s="524">
        <v>1</v>
      </c>
      <c r="L69" s="269"/>
      <c r="M69" s="693" t="s">
        <v>1862</v>
      </c>
      <c r="N69" s="466"/>
      <c r="O69" s="456"/>
      <c r="P69" s="874"/>
    </row>
    <row r="70" spans="1:23" s="461" customFormat="1" ht="54">
      <c r="A70" s="82">
        <v>64</v>
      </c>
      <c r="B70" s="522" t="s">
        <v>1316</v>
      </c>
      <c r="C70" s="523" t="s">
        <v>1357</v>
      </c>
      <c r="D70" s="43" t="s">
        <v>1322</v>
      </c>
      <c r="E70" s="456" t="s">
        <v>1358</v>
      </c>
      <c r="F70" s="456"/>
      <c r="G70" s="270"/>
      <c r="H70" s="466" t="s">
        <v>1318</v>
      </c>
      <c r="I70" s="466">
        <v>2020</v>
      </c>
      <c r="J70" s="466" t="s">
        <v>1320</v>
      </c>
      <c r="K70" s="524">
        <v>1</v>
      </c>
      <c r="L70" s="269"/>
      <c r="M70" s="693" t="s">
        <v>1862</v>
      </c>
      <c r="N70" s="466"/>
      <c r="O70" s="456"/>
      <c r="P70" s="875"/>
    </row>
    <row r="71" spans="1:23" s="559" customFormat="1" ht="61.5" customHeight="1">
      <c r="A71" s="82">
        <v>65</v>
      </c>
      <c r="B71" s="236" t="s">
        <v>75</v>
      </c>
      <c r="C71" s="43"/>
      <c r="D71" s="231" t="s">
        <v>130</v>
      </c>
      <c r="E71" s="231" t="s">
        <v>74</v>
      </c>
      <c r="F71" s="566">
        <v>150166.644</v>
      </c>
      <c r="G71" s="33" t="s">
        <v>23</v>
      </c>
      <c r="H71" s="33" t="s">
        <v>77</v>
      </c>
      <c r="I71" s="33">
        <v>1399</v>
      </c>
      <c r="J71" s="33" t="s">
        <v>25</v>
      </c>
      <c r="K71" s="524" t="s">
        <v>17</v>
      </c>
      <c r="L71" s="33" t="s">
        <v>72</v>
      </c>
      <c r="M71" s="33"/>
      <c r="N71" s="648" t="s">
        <v>581</v>
      </c>
      <c r="O71" s="236" t="s">
        <v>1833</v>
      </c>
      <c r="P71" s="236"/>
    </row>
    <row r="72" spans="1:23" s="559" customFormat="1" ht="108" customHeight="1">
      <c r="A72" s="82">
        <v>66</v>
      </c>
      <c r="B72" s="237" t="s">
        <v>20</v>
      </c>
      <c r="C72" s="196"/>
      <c r="D72" s="196" t="s">
        <v>1473</v>
      </c>
      <c r="E72" s="237" t="s">
        <v>1013</v>
      </c>
      <c r="F72" s="259">
        <v>385370</v>
      </c>
      <c r="G72" s="354" t="s">
        <v>23</v>
      </c>
      <c r="H72" s="476" t="s">
        <v>24</v>
      </c>
      <c r="I72" s="354">
        <v>1399</v>
      </c>
      <c r="J72" s="556" t="s">
        <v>25</v>
      </c>
      <c r="K72" s="524">
        <v>1</v>
      </c>
      <c r="L72" s="33"/>
      <c r="M72" s="33" t="s">
        <v>1862</v>
      </c>
      <c r="N72" s="33"/>
      <c r="O72" s="236"/>
      <c r="P72" s="560"/>
    </row>
    <row r="73" spans="1:23" s="559" customFormat="1" ht="61.5" customHeight="1">
      <c r="A73" s="82">
        <v>67</v>
      </c>
      <c r="B73" s="236" t="s">
        <v>75</v>
      </c>
      <c r="C73" s="43"/>
      <c r="D73" s="231" t="s">
        <v>130</v>
      </c>
      <c r="E73" s="231" t="s">
        <v>97</v>
      </c>
      <c r="F73" s="566">
        <v>1282840</v>
      </c>
      <c r="G73" s="33" t="s">
        <v>23</v>
      </c>
      <c r="H73" s="33" t="s">
        <v>77</v>
      </c>
      <c r="I73" s="33">
        <v>1399</v>
      </c>
      <c r="J73" s="33" t="s">
        <v>25</v>
      </c>
      <c r="K73" s="567"/>
      <c r="L73" s="33" t="s">
        <v>72</v>
      </c>
      <c r="M73" s="33"/>
      <c r="N73" s="623" t="s">
        <v>581</v>
      </c>
      <c r="O73" s="236" t="s">
        <v>1833</v>
      </c>
      <c r="P73" s="236"/>
    </row>
    <row r="74" spans="1:23">
      <c r="K74" s="14"/>
    </row>
    <row r="80" spans="1:23">
      <c r="H80" s="788"/>
      <c r="I80" s="789"/>
      <c r="J80" s="789"/>
      <c r="K80" s="789"/>
      <c r="L80" s="789"/>
      <c r="M80" s="789"/>
      <c r="N80" s="789"/>
      <c r="O80" s="789"/>
      <c r="P80" s="789"/>
      <c r="Q80" s="789"/>
      <c r="R80" s="789"/>
      <c r="S80" s="789"/>
      <c r="T80" s="789"/>
      <c r="U80" s="789"/>
      <c r="V80" s="789"/>
      <c r="W80" s="789"/>
    </row>
    <row r="81" spans="8:23">
      <c r="H81" s="789"/>
      <c r="I81" s="789"/>
      <c r="J81" s="789"/>
      <c r="K81" s="789"/>
      <c r="L81" s="789"/>
      <c r="M81" s="789"/>
      <c r="N81" s="789"/>
      <c r="O81" s="789"/>
      <c r="P81" s="789"/>
      <c r="Q81" s="789"/>
      <c r="R81" s="789"/>
      <c r="S81" s="789"/>
      <c r="T81" s="789"/>
      <c r="U81" s="789"/>
      <c r="V81" s="789"/>
      <c r="W81" s="789"/>
    </row>
    <row r="82" spans="8:23">
      <c r="H82" s="789"/>
      <c r="I82" s="789"/>
      <c r="J82" s="789"/>
      <c r="K82" s="789"/>
      <c r="L82" s="789"/>
      <c r="M82" s="789"/>
      <c r="N82" s="789"/>
      <c r="O82" s="789"/>
      <c r="P82" s="789"/>
      <c r="Q82" s="789"/>
      <c r="R82" s="789"/>
      <c r="S82" s="789"/>
      <c r="T82" s="789"/>
      <c r="U82" s="789"/>
      <c r="V82" s="789"/>
      <c r="W82" s="789"/>
    </row>
    <row r="83" spans="8:23">
      <c r="H83" s="790"/>
      <c r="I83" s="790"/>
      <c r="J83" s="790"/>
      <c r="K83" s="790"/>
      <c r="L83" s="790"/>
      <c r="M83" s="790"/>
      <c r="N83" s="790"/>
      <c r="O83" s="790"/>
      <c r="P83" s="790"/>
      <c r="Q83" s="790"/>
      <c r="R83" s="790"/>
      <c r="S83" s="790"/>
      <c r="T83" s="790"/>
      <c r="U83" s="790"/>
      <c r="V83" s="790"/>
      <c r="W83" s="790"/>
    </row>
  </sheetData>
  <mergeCells count="20">
    <mergeCell ref="A1:P4"/>
    <mergeCell ref="A5:A6"/>
    <mergeCell ref="B5:B6"/>
    <mergeCell ref="C5:C6"/>
    <mergeCell ref="D5:D6"/>
    <mergeCell ref="E5:E6"/>
    <mergeCell ref="F5:H5"/>
    <mergeCell ref="I5:I6"/>
    <mergeCell ref="J5:J6"/>
    <mergeCell ref="K5:K6"/>
    <mergeCell ref="O5:O6"/>
    <mergeCell ref="P5:P6"/>
    <mergeCell ref="N5:N6"/>
    <mergeCell ref="F45:F50"/>
    <mergeCell ref="D18:D19"/>
    <mergeCell ref="L5:M5"/>
    <mergeCell ref="H80:W83"/>
    <mergeCell ref="P51:P70"/>
    <mergeCell ref="D33:D34"/>
    <mergeCell ref="P45:P46"/>
  </mergeCells>
  <printOptions horizontalCentered="1" verticalCentered="1"/>
  <pageMargins left="0" right="0" top="0" bottom="0" header="0" footer="0"/>
  <pageSetup paperSize="9" scale="56"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sheetPr>
    <tabColor rgb="FF92D050"/>
  </sheetPr>
  <dimension ref="A1:P57"/>
  <sheetViews>
    <sheetView rightToLeft="1" view="pageBreakPreview" zoomScale="98" zoomScaleSheetLayoutView="98" workbookViewId="0">
      <pane xSplit="1" ySplit="6" topLeftCell="C54" activePane="bottomRight" state="frozen"/>
      <selection pane="topRight" activeCell="B1" sqref="B1"/>
      <selection pane="bottomLeft" activeCell="A4" sqref="A4"/>
      <selection pane="bottomRight" activeCell="E57" sqref="E57"/>
    </sheetView>
  </sheetViews>
  <sheetFormatPr defaultColWidth="9.140625" defaultRowHeight="15"/>
  <cols>
    <col min="1" max="1" width="5.7109375" style="1" customWidth="1"/>
    <col min="2" max="2" width="13" style="10" customWidth="1"/>
    <col min="3" max="3" width="8" style="3" customWidth="1"/>
    <col min="4" max="4" width="12.42578125" style="8" customWidth="1"/>
    <col min="5" max="5" width="34.7109375" style="7" customWidth="1"/>
    <col min="6" max="6" width="13.28515625" style="2" customWidth="1"/>
    <col min="7" max="7" width="10.85546875" style="2" customWidth="1"/>
    <col min="8" max="8" width="11.5703125" style="2" customWidth="1"/>
    <col min="9" max="9" width="9.140625" style="1" customWidth="1"/>
    <col min="10" max="10" width="13.42578125" style="11" customWidth="1"/>
    <col min="11" max="11" width="12.5703125" style="264" customWidth="1"/>
    <col min="12" max="12" width="9.85546875" style="1" customWidth="1"/>
    <col min="13" max="13" width="11.28515625" style="15" customWidth="1"/>
    <col min="14" max="14" width="21.28515625" style="11" customWidth="1"/>
    <col min="15" max="15" width="17.85546875" style="11" customWidth="1"/>
    <col min="16" max="16" width="17.28515625" style="145" customWidth="1"/>
    <col min="17" max="16384" width="9.140625" style="145"/>
  </cols>
  <sheetData>
    <row r="1" spans="1:16" ht="18" customHeight="1">
      <c r="A1" s="788" t="s">
        <v>1971</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5.9" customHeight="1">
      <c r="A5" s="791" t="s">
        <v>0</v>
      </c>
      <c r="B5" s="837" t="s">
        <v>14</v>
      </c>
      <c r="C5" s="834" t="s">
        <v>19</v>
      </c>
      <c r="D5" s="837" t="s">
        <v>1</v>
      </c>
      <c r="E5" s="872" t="s">
        <v>15</v>
      </c>
      <c r="F5" s="791" t="s">
        <v>9</v>
      </c>
      <c r="G5" s="791"/>
      <c r="H5" s="791"/>
      <c r="I5" s="791" t="s">
        <v>7</v>
      </c>
      <c r="J5" s="872" t="s">
        <v>6</v>
      </c>
      <c r="K5" s="833" t="s">
        <v>16</v>
      </c>
      <c r="L5" s="791" t="s">
        <v>2</v>
      </c>
      <c r="M5" s="791"/>
      <c r="N5" s="268" t="s">
        <v>5</v>
      </c>
      <c r="O5" s="268" t="s">
        <v>13</v>
      </c>
      <c r="P5" s="791" t="s">
        <v>8</v>
      </c>
    </row>
    <row r="6" spans="1:16" ht="41.45" customHeight="1">
      <c r="A6" s="791"/>
      <c r="B6" s="837"/>
      <c r="C6" s="835"/>
      <c r="D6" s="837"/>
      <c r="E6" s="872"/>
      <c r="F6" s="146" t="s">
        <v>10</v>
      </c>
      <c r="G6" s="146" t="s">
        <v>11</v>
      </c>
      <c r="H6" s="146" t="s">
        <v>12</v>
      </c>
      <c r="I6" s="791"/>
      <c r="J6" s="872"/>
      <c r="K6" s="833"/>
      <c r="L6" s="146" t="s">
        <v>3</v>
      </c>
      <c r="M6" s="153" t="s">
        <v>4</v>
      </c>
      <c r="N6" s="268"/>
      <c r="O6" s="268"/>
      <c r="P6" s="791"/>
    </row>
    <row r="7" spans="1:16" s="5" customFormat="1" ht="78.75" customHeight="1">
      <c r="A7" s="583">
        <v>1</v>
      </c>
      <c r="B7" s="6" t="s">
        <v>603</v>
      </c>
      <c r="C7" s="354" t="s">
        <v>1681</v>
      </c>
      <c r="D7" s="576" t="s">
        <v>320</v>
      </c>
      <c r="E7" s="573" t="s">
        <v>1479</v>
      </c>
      <c r="F7" s="184">
        <v>315333.33333333331</v>
      </c>
      <c r="G7" s="82" t="s">
        <v>23</v>
      </c>
      <c r="H7" s="82" t="s">
        <v>77</v>
      </c>
      <c r="I7" s="82">
        <v>1399</v>
      </c>
      <c r="J7" s="582" t="s">
        <v>25</v>
      </c>
      <c r="K7" s="235">
        <v>1</v>
      </c>
      <c r="L7" s="179"/>
      <c r="M7" s="6" t="s">
        <v>33</v>
      </c>
      <c r="N7" s="582"/>
      <c r="O7" s="180"/>
      <c r="P7" s="179"/>
    </row>
    <row r="8" spans="1:16" s="26" customFormat="1" ht="65.25" customHeight="1">
      <c r="A8" s="19">
        <v>2</v>
      </c>
      <c r="B8" s="6" t="s">
        <v>603</v>
      </c>
      <c r="C8" s="184"/>
      <c r="D8" s="152" t="s">
        <v>21</v>
      </c>
      <c r="E8" s="57" t="s">
        <v>618</v>
      </c>
      <c r="F8" s="184">
        <v>2560000</v>
      </c>
      <c r="G8" s="82" t="s">
        <v>23</v>
      </c>
      <c r="H8" s="82" t="s">
        <v>77</v>
      </c>
      <c r="I8" s="82">
        <v>1399</v>
      </c>
      <c r="J8" s="64" t="s">
        <v>25</v>
      </c>
      <c r="K8" s="235">
        <v>1</v>
      </c>
      <c r="L8" s="82"/>
      <c r="M8" s="6" t="s">
        <v>33</v>
      </c>
      <c r="N8" s="244"/>
      <c r="O8" s="57"/>
      <c r="P8" s="58"/>
    </row>
    <row r="9" spans="1:16" s="26" customFormat="1" ht="54">
      <c r="A9" s="588">
        <v>3</v>
      </c>
      <c r="B9" s="6" t="s">
        <v>603</v>
      </c>
      <c r="C9" s="184"/>
      <c r="D9" s="152" t="s">
        <v>21</v>
      </c>
      <c r="E9" s="57" t="s">
        <v>552</v>
      </c>
      <c r="F9" s="184">
        <v>82000</v>
      </c>
      <c r="G9" s="82" t="s">
        <v>23</v>
      </c>
      <c r="H9" s="82" t="s">
        <v>77</v>
      </c>
      <c r="I9" s="82">
        <v>1399</v>
      </c>
      <c r="J9" s="64" t="s">
        <v>25</v>
      </c>
      <c r="K9" s="235">
        <v>1</v>
      </c>
      <c r="L9" s="82"/>
      <c r="M9" s="6" t="s">
        <v>33</v>
      </c>
      <c r="N9" s="64"/>
      <c r="O9" s="57"/>
      <c r="P9" s="58"/>
    </row>
    <row r="10" spans="1:16" s="26" customFormat="1" ht="57" customHeight="1">
      <c r="A10" s="588">
        <v>4</v>
      </c>
      <c r="B10" s="6" t="s">
        <v>603</v>
      </c>
      <c r="C10" s="184"/>
      <c r="D10" s="152" t="s">
        <v>21</v>
      </c>
      <c r="E10" s="57" t="s">
        <v>268</v>
      </c>
      <c r="F10" s="184">
        <v>135000</v>
      </c>
      <c r="G10" s="82" t="s">
        <v>23</v>
      </c>
      <c r="H10" s="82" t="s">
        <v>77</v>
      </c>
      <c r="I10" s="82">
        <v>1399</v>
      </c>
      <c r="J10" s="64" t="s">
        <v>25</v>
      </c>
      <c r="K10" s="235"/>
      <c r="L10" s="230"/>
      <c r="M10" s="6"/>
      <c r="N10" s="244" t="s">
        <v>947</v>
      </c>
      <c r="O10" s="57" t="s">
        <v>944</v>
      </c>
      <c r="P10" s="58"/>
    </row>
    <row r="11" spans="1:16" s="26" customFormat="1" ht="54">
      <c r="A11" s="588">
        <v>5</v>
      </c>
      <c r="B11" s="6" t="s">
        <v>603</v>
      </c>
      <c r="C11" s="184"/>
      <c r="D11" s="152" t="s">
        <v>21</v>
      </c>
      <c r="E11" s="57" t="s">
        <v>27</v>
      </c>
      <c r="F11" s="184">
        <v>20000</v>
      </c>
      <c r="G11" s="82" t="s">
        <v>23</v>
      </c>
      <c r="H11" s="82" t="s">
        <v>77</v>
      </c>
      <c r="I11" s="82">
        <v>1399</v>
      </c>
      <c r="J11" s="64" t="s">
        <v>25</v>
      </c>
      <c r="K11" s="235"/>
      <c r="L11" s="230"/>
      <c r="M11" s="6"/>
      <c r="N11" s="244" t="s">
        <v>947</v>
      </c>
      <c r="O11" s="344" t="s">
        <v>944</v>
      </c>
      <c r="P11" s="58"/>
    </row>
    <row r="12" spans="1:16" s="26" customFormat="1" ht="54.6" customHeight="1">
      <c r="A12" s="588">
        <v>6</v>
      </c>
      <c r="B12" s="6" t="s">
        <v>603</v>
      </c>
      <c r="C12" s="184"/>
      <c r="D12" s="152" t="s">
        <v>28</v>
      </c>
      <c r="E12" s="169" t="s">
        <v>517</v>
      </c>
      <c r="F12" s="184">
        <v>12306000</v>
      </c>
      <c r="G12" s="82" t="s">
        <v>23</v>
      </c>
      <c r="H12" s="82" t="s">
        <v>77</v>
      </c>
      <c r="I12" s="82">
        <v>1399</v>
      </c>
      <c r="J12" s="64" t="s">
        <v>25</v>
      </c>
      <c r="K12" s="246">
        <v>1</v>
      </c>
      <c r="L12" s="82"/>
      <c r="M12" s="692" t="s">
        <v>33</v>
      </c>
      <c r="N12" s="64"/>
      <c r="O12" s="57" t="s">
        <v>17</v>
      </c>
      <c r="P12" s="58" t="s">
        <v>17</v>
      </c>
    </row>
    <row r="13" spans="1:16" s="26" customFormat="1" ht="85.9" customHeight="1">
      <c r="A13" s="588">
        <v>7</v>
      </c>
      <c r="B13" s="6" t="s">
        <v>603</v>
      </c>
      <c r="C13" s="184"/>
      <c r="D13" s="152" t="s">
        <v>28</v>
      </c>
      <c r="E13" s="57" t="s">
        <v>617</v>
      </c>
      <c r="F13" s="184">
        <v>98600</v>
      </c>
      <c r="G13" s="82" t="s">
        <v>23</v>
      </c>
      <c r="H13" s="82" t="s">
        <v>77</v>
      </c>
      <c r="I13" s="82">
        <v>1399</v>
      </c>
      <c r="J13" s="64" t="s">
        <v>25</v>
      </c>
      <c r="K13" s="246">
        <v>1</v>
      </c>
      <c r="L13" s="230"/>
      <c r="M13" s="692" t="s">
        <v>33</v>
      </c>
      <c r="N13" s="244"/>
      <c r="O13" s="57"/>
      <c r="P13" s="842"/>
    </row>
    <row r="14" spans="1:16" s="26" customFormat="1" ht="108">
      <c r="A14" s="588">
        <v>8</v>
      </c>
      <c r="B14" s="6" t="s">
        <v>603</v>
      </c>
      <c r="C14" s="184"/>
      <c r="D14" s="152" t="s">
        <v>28</v>
      </c>
      <c r="E14" s="169" t="s">
        <v>99</v>
      </c>
      <c r="F14" s="184">
        <v>62250</v>
      </c>
      <c r="G14" s="82" t="s">
        <v>23</v>
      </c>
      <c r="H14" s="82" t="s">
        <v>77</v>
      </c>
      <c r="I14" s="82">
        <v>1399</v>
      </c>
      <c r="J14" s="64" t="s">
        <v>25</v>
      </c>
      <c r="K14" s="246">
        <v>1</v>
      </c>
      <c r="L14" s="230"/>
      <c r="M14" s="692" t="s">
        <v>33</v>
      </c>
      <c r="N14" s="244"/>
      <c r="O14" s="57"/>
      <c r="P14" s="842"/>
    </row>
    <row r="15" spans="1:16" s="26" customFormat="1" ht="72" customHeight="1">
      <c r="A15" s="588">
        <v>9</v>
      </c>
      <c r="B15" s="6" t="s">
        <v>603</v>
      </c>
      <c r="C15" s="184"/>
      <c r="D15" s="152" t="s">
        <v>31</v>
      </c>
      <c r="E15" s="57" t="s">
        <v>80</v>
      </c>
      <c r="F15" s="184">
        <v>264500</v>
      </c>
      <c r="G15" s="82" t="s">
        <v>23</v>
      </c>
      <c r="H15" s="82" t="s">
        <v>77</v>
      </c>
      <c r="I15" s="82">
        <v>1399</v>
      </c>
      <c r="J15" s="64" t="s">
        <v>25</v>
      </c>
      <c r="K15" s="246">
        <v>1</v>
      </c>
      <c r="L15" s="218"/>
      <c r="M15" s="692" t="s">
        <v>33</v>
      </c>
      <c r="N15" s="244"/>
      <c r="O15" s="57"/>
      <c r="P15" s="58"/>
    </row>
    <row r="16" spans="1:16" s="26" customFormat="1" ht="57.6" customHeight="1">
      <c r="A16" s="588">
        <v>10</v>
      </c>
      <c r="B16" s="6" t="s">
        <v>603</v>
      </c>
      <c r="C16" s="184"/>
      <c r="D16" s="152" t="s">
        <v>31</v>
      </c>
      <c r="E16" s="57" t="s">
        <v>34</v>
      </c>
      <c r="F16" s="184">
        <v>237677</v>
      </c>
      <c r="G16" s="82" t="s">
        <v>23</v>
      </c>
      <c r="H16" s="82" t="s">
        <v>77</v>
      </c>
      <c r="I16" s="82">
        <v>1399</v>
      </c>
      <c r="J16" s="64" t="s">
        <v>25</v>
      </c>
      <c r="K16" s="246">
        <v>1</v>
      </c>
      <c r="L16" s="218"/>
      <c r="M16" s="692" t="s">
        <v>33</v>
      </c>
      <c r="N16" s="244"/>
      <c r="O16" s="57"/>
      <c r="P16" s="58"/>
    </row>
    <row r="17" spans="1:16" s="26" customFormat="1" ht="54">
      <c r="A17" s="588">
        <v>11</v>
      </c>
      <c r="B17" s="6" t="s">
        <v>603</v>
      </c>
      <c r="C17" s="184"/>
      <c r="D17" s="152" t="s">
        <v>31</v>
      </c>
      <c r="E17" s="57" t="s">
        <v>32</v>
      </c>
      <c r="F17" s="184">
        <v>169680</v>
      </c>
      <c r="G17" s="82" t="s">
        <v>23</v>
      </c>
      <c r="H17" s="82" t="s">
        <v>77</v>
      </c>
      <c r="I17" s="82">
        <v>1399</v>
      </c>
      <c r="J17" s="64" t="s">
        <v>25</v>
      </c>
      <c r="K17" s="246">
        <v>1</v>
      </c>
      <c r="L17" s="218"/>
      <c r="M17" s="692" t="s">
        <v>33</v>
      </c>
      <c r="N17" s="244"/>
      <c r="O17" s="57"/>
      <c r="P17" s="58"/>
    </row>
    <row r="18" spans="1:16" s="26" customFormat="1" ht="54">
      <c r="A18" s="588">
        <v>12</v>
      </c>
      <c r="B18" s="6" t="s">
        <v>603</v>
      </c>
      <c r="C18" s="184"/>
      <c r="D18" s="152" t="s">
        <v>31</v>
      </c>
      <c r="E18" s="57" t="s">
        <v>483</v>
      </c>
      <c r="F18" s="184">
        <v>254000</v>
      </c>
      <c r="G18" s="82" t="s">
        <v>23</v>
      </c>
      <c r="H18" s="82" t="s">
        <v>77</v>
      </c>
      <c r="I18" s="82">
        <v>1399</v>
      </c>
      <c r="J18" s="64" t="s">
        <v>25</v>
      </c>
      <c r="K18" s="246">
        <v>1</v>
      </c>
      <c r="L18" s="218"/>
      <c r="M18" s="692" t="s">
        <v>33</v>
      </c>
      <c r="N18" s="244"/>
      <c r="O18" s="57"/>
      <c r="P18" s="58"/>
    </row>
    <row r="19" spans="1:16" s="34" customFormat="1" ht="76.900000000000006" customHeight="1">
      <c r="A19" s="588">
        <v>13</v>
      </c>
      <c r="B19" s="6" t="s">
        <v>603</v>
      </c>
      <c r="C19" s="184"/>
      <c r="D19" s="152" t="s">
        <v>40</v>
      </c>
      <c r="E19" s="169" t="s">
        <v>616</v>
      </c>
      <c r="F19" s="184">
        <v>1413600</v>
      </c>
      <c r="G19" s="82" t="s">
        <v>23</v>
      </c>
      <c r="H19" s="82" t="s">
        <v>41</v>
      </c>
      <c r="I19" s="82">
        <v>1399</v>
      </c>
      <c r="J19" s="64" t="s">
        <v>25</v>
      </c>
      <c r="K19" s="246">
        <v>1</v>
      </c>
      <c r="L19" s="230"/>
      <c r="M19" s="692" t="s">
        <v>33</v>
      </c>
      <c r="N19" s="244"/>
      <c r="O19" s="250"/>
      <c r="P19" s="842"/>
    </row>
    <row r="20" spans="1:16" s="34" customFormat="1" ht="74.45" customHeight="1">
      <c r="A20" s="588">
        <v>14</v>
      </c>
      <c r="B20" s="6" t="s">
        <v>603</v>
      </c>
      <c r="C20" s="184"/>
      <c r="D20" s="152" t="s">
        <v>40</v>
      </c>
      <c r="E20" s="169" t="s">
        <v>161</v>
      </c>
      <c r="F20" s="184">
        <f>5* 223200</f>
        <v>1116000</v>
      </c>
      <c r="G20" s="82" t="s">
        <v>23</v>
      </c>
      <c r="H20" s="82" t="s">
        <v>41</v>
      </c>
      <c r="I20" s="82">
        <v>1399</v>
      </c>
      <c r="J20" s="64" t="s">
        <v>25</v>
      </c>
      <c r="K20" s="246">
        <v>1</v>
      </c>
      <c r="L20" s="230" t="s">
        <v>1828</v>
      </c>
      <c r="M20" s="692" t="s">
        <v>33</v>
      </c>
      <c r="N20" s="444" t="s">
        <v>607</v>
      </c>
      <c r="O20" s="22" t="s">
        <v>959</v>
      </c>
      <c r="P20" s="842"/>
    </row>
    <row r="21" spans="1:16" s="34" customFormat="1" ht="72">
      <c r="A21" s="588">
        <v>15</v>
      </c>
      <c r="B21" s="6" t="s">
        <v>603</v>
      </c>
      <c r="C21" s="184"/>
      <c r="D21" s="152" t="s">
        <v>40</v>
      </c>
      <c r="E21" s="169" t="s">
        <v>82</v>
      </c>
      <c r="F21" s="184">
        <f>110* 58032</f>
        <v>6383520</v>
      </c>
      <c r="G21" s="82" t="s">
        <v>23</v>
      </c>
      <c r="H21" s="82" t="s">
        <v>41</v>
      </c>
      <c r="I21" s="82">
        <v>1399</v>
      </c>
      <c r="J21" s="64" t="s">
        <v>25</v>
      </c>
      <c r="K21" s="246">
        <v>1</v>
      </c>
      <c r="L21" s="230"/>
      <c r="M21" s="229" t="s">
        <v>33</v>
      </c>
      <c r="N21" s="244"/>
      <c r="O21" s="57"/>
      <c r="P21" s="842"/>
    </row>
    <row r="22" spans="1:16" s="34" customFormat="1" ht="94.9" customHeight="1">
      <c r="A22" s="588">
        <v>16</v>
      </c>
      <c r="B22" s="6" t="s">
        <v>603</v>
      </c>
      <c r="C22" s="184"/>
      <c r="D22" s="152" t="s">
        <v>40</v>
      </c>
      <c r="E22" s="169" t="s">
        <v>615</v>
      </c>
      <c r="F22" s="58" t="s">
        <v>17</v>
      </c>
      <c r="G22" s="82" t="s">
        <v>17</v>
      </c>
      <c r="H22" s="82" t="s">
        <v>17</v>
      </c>
      <c r="I22" s="82">
        <v>1399</v>
      </c>
      <c r="J22" s="64" t="s">
        <v>25</v>
      </c>
      <c r="K22" s="246">
        <v>1</v>
      </c>
      <c r="L22" s="230"/>
      <c r="M22" s="229" t="s">
        <v>33</v>
      </c>
      <c r="N22" s="244"/>
      <c r="O22" s="249"/>
      <c r="P22" s="416" t="s">
        <v>83</v>
      </c>
    </row>
    <row r="23" spans="1:16" s="34" customFormat="1" ht="72">
      <c r="A23" s="588">
        <v>17</v>
      </c>
      <c r="B23" s="6" t="s">
        <v>603</v>
      </c>
      <c r="C23" s="184"/>
      <c r="D23" s="152" t="s">
        <v>40</v>
      </c>
      <c r="E23" s="169" t="s">
        <v>84</v>
      </c>
      <c r="F23" s="184">
        <f>2* 848904</f>
        <v>1697808</v>
      </c>
      <c r="G23" s="82" t="s">
        <v>23</v>
      </c>
      <c r="H23" s="82" t="s">
        <v>41</v>
      </c>
      <c r="I23" s="82">
        <v>1399</v>
      </c>
      <c r="J23" s="64" t="s">
        <v>25</v>
      </c>
      <c r="K23" s="246">
        <v>1</v>
      </c>
      <c r="L23" s="230"/>
      <c r="M23" s="229" t="s">
        <v>33</v>
      </c>
      <c r="N23" s="244"/>
      <c r="O23" s="250"/>
      <c r="P23" s="416"/>
    </row>
    <row r="24" spans="1:16" s="34" customFormat="1" ht="108">
      <c r="A24" s="588">
        <v>18</v>
      </c>
      <c r="B24" s="6" t="s">
        <v>603</v>
      </c>
      <c r="C24" s="184"/>
      <c r="D24" s="152" t="s">
        <v>40</v>
      </c>
      <c r="E24" s="266" t="s">
        <v>269</v>
      </c>
      <c r="F24" s="184">
        <f>3* 102300</f>
        <v>306900</v>
      </c>
      <c r="G24" s="82" t="s">
        <v>23</v>
      </c>
      <c r="H24" s="82" t="s">
        <v>41</v>
      </c>
      <c r="I24" s="82">
        <v>1399</v>
      </c>
      <c r="J24" s="64" t="s">
        <v>25</v>
      </c>
      <c r="K24" s="246">
        <v>1</v>
      </c>
      <c r="L24" s="230" t="s">
        <v>1828</v>
      </c>
      <c r="M24" s="229" t="s">
        <v>33</v>
      </c>
      <c r="N24" s="444" t="s">
        <v>607</v>
      </c>
      <c r="O24" s="22" t="s">
        <v>959</v>
      </c>
      <c r="P24" s="58"/>
    </row>
    <row r="25" spans="1:16" s="34" customFormat="1" ht="108">
      <c r="A25" s="588">
        <v>19</v>
      </c>
      <c r="B25" s="6" t="s">
        <v>603</v>
      </c>
      <c r="C25" s="184"/>
      <c r="D25" s="152" t="s">
        <v>40</v>
      </c>
      <c r="E25" s="169" t="s">
        <v>198</v>
      </c>
      <c r="F25" s="184">
        <f>10* 404438</f>
        <v>4044380</v>
      </c>
      <c r="G25" s="82" t="s">
        <v>23</v>
      </c>
      <c r="H25" s="82" t="s">
        <v>41</v>
      </c>
      <c r="I25" s="82">
        <v>1399</v>
      </c>
      <c r="J25" s="64" t="s">
        <v>25</v>
      </c>
      <c r="K25" s="246">
        <v>1</v>
      </c>
      <c r="L25" s="230" t="s">
        <v>1828</v>
      </c>
      <c r="M25" s="229" t="s">
        <v>33</v>
      </c>
      <c r="N25" s="444" t="s">
        <v>607</v>
      </c>
      <c r="O25" s="22" t="s">
        <v>959</v>
      </c>
      <c r="P25" s="842"/>
    </row>
    <row r="26" spans="1:16" s="34" customFormat="1" ht="72">
      <c r="A26" s="588">
        <v>20</v>
      </c>
      <c r="B26" s="6" t="s">
        <v>603</v>
      </c>
      <c r="C26" s="184"/>
      <c r="D26" s="152" t="s">
        <v>40</v>
      </c>
      <c r="E26" s="169" t="s">
        <v>614</v>
      </c>
      <c r="F26" s="184">
        <f>900*148</f>
        <v>133200</v>
      </c>
      <c r="G26" s="82" t="s">
        <v>23</v>
      </c>
      <c r="H26" s="82" t="s">
        <v>41</v>
      </c>
      <c r="I26" s="82">
        <v>1399</v>
      </c>
      <c r="J26" s="64" t="s">
        <v>25</v>
      </c>
      <c r="K26" s="246">
        <v>1</v>
      </c>
      <c r="L26" s="230"/>
      <c r="M26" s="229" t="s">
        <v>33</v>
      </c>
      <c r="N26" s="244"/>
      <c r="O26" s="57"/>
      <c r="P26" s="842"/>
    </row>
    <row r="27" spans="1:16" s="34" customFormat="1" ht="108">
      <c r="A27" s="588">
        <v>21</v>
      </c>
      <c r="B27" s="6" t="s">
        <v>603</v>
      </c>
      <c r="C27" s="184"/>
      <c r="D27" s="152" t="s">
        <v>40</v>
      </c>
      <c r="E27" s="169" t="s">
        <v>86</v>
      </c>
      <c r="F27" s="184">
        <f>2*375000</f>
        <v>750000</v>
      </c>
      <c r="G27" s="82" t="s">
        <v>23</v>
      </c>
      <c r="H27" s="82" t="s">
        <v>41</v>
      </c>
      <c r="I27" s="82">
        <v>1399</v>
      </c>
      <c r="J27" s="64" t="s">
        <v>25</v>
      </c>
      <c r="K27" s="246">
        <v>1</v>
      </c>
      <c r="L27" s="230" t="s">
        <v>1828</v>
      </c>
      <c r="M27" s="229" t="s">
        <v>33</v>
      </c>
      <c r="N27" s="444" t="s">
        <v>607</v>
      </c>
      <c r="O27" s="22" t="s">
        <v>959</v>
      </c>
      <c r="P27" s="58"/>
    </row>
    <row r="28" spans="1:16" s="34" customFormat="1" ht="63" customHeight="1">
      <c r="A28" s="588">
        <v>22</v>
      </c>
      <c r="B28" s="6" t="s">
        <v>603</v>
      </c>
      <c r="C28" s="184"/>
      <c r="D28" s="152" t="s">
        <v>40</v>
      </c>
      <c r="E28" s="169" t="s">
        <v>613</v>
      </c>
      <c r="F28" s="184">
        <f>20* 22320</f>
        <v>446400</v>
      </c>
      <c r="G28" s="82" t="s">
        <v>23</v>
      </c>
      <c r="H28" s="82" t="s">
        <v>41</v>
      </c>
      <c r="I28" s="82">
        <v>1399</v>
      </c>
      <c r="J28" s="64" t="s">
        <v>25</v>
      </c>
      <c r="K28" s="246">
        <v>1</v>
      </c>
      <c r="L28" s="230"/>
      <c r="M28" s="229" t="s">
        <v>33</v>
      </c>
      <c r="N28" s="244"/>
      <c r="O28" s="57"/>
      <c r="P28" s="842"/>
    </row>
    <row r="29" spans="1:16" s="34" customFormat="1" ht="72">
      <c r="A29" s="588">
        <v>23</v>
      </c>
      <c r="B29" s="6" t="s">
        <v>603</v>
      </c>
      <c r="C29" s="184"/>
      <c r="D29" s="152" t="s">
        <v>40</v>
      </c>
      <c r="E29" s="169" t="s">
        <v>162</v>
      </c>
      <c r="F29" s="184">
        <f>20* 3645</f>
        <v>72900</v>
      </c>
      <c r="G29" s="82" t="s">
        <v>23</v>
      </c>
      <c r="H29" s="82" t="s">
        <v>41</v>
      </c>
      <c r="I29" s="82">
        <v>1399</v>
      </c>
      <c r="J29" s="64" t="s">
        <v>25</v>
      </c>
      <c r="K29" s="246">
        <v>1</v>
      </c>
      <c r="L29" s="230"/>
      <c r="M29" s="229" t="s">
        <v>33</v>
      </c>
      <c r="N29" s="244"/>
      <c r="O29" s="57"/>
      <c r="P29" s="842"/>
    </row>
    <row r="30" spans="1:16" s="34" customFormat="1" ht="72">
      <c r="A30" s="588">
        <v>24</v>
      </c>
      <c r="B30" s="6" t="s">
        <v>603</v>
      </c>
      <c r="C30" s="184"/>
      <c r="D30" s="152" t="s">
        <v>40</v>
      </c>
      <c r="E30" s="169" t="s">
        <v>163</v>
      </c>
      <c r="F30" s="184">
        <f>2* 44640</f>
        <v>89280</v>
      </c>
      <c r="G30" s="82" t="s">
        <v>23</v>
      </c>
      <c r="H30" s="82" t="s">
        <v>41</v>
      </c>
      <c r="I30" s="82">
        <v>1399</v>
      </c>
      <c r="J30" s="64" t="s">
        <v>25</v>
      </c>
      <c r="K30" s="246">
        <v>1</v>
      </c>
      <c r="L30" s="230"/>
      <c r="M30" s="229" t="s">
        <v>33</v>
      </c>
      <c r="N30" s="244"/>
      <c r="O30" s="57"/>
      <c r="P30" s="842"/>
    </row>
    <row r="31" spans="1:16" s="34" customFormat="1" ht="108">
      <c r="A31" s="588">
        <v>25</v>
      </c>
      <c r="B31" s="6" t="s">
        <v>603</v>
      </c>
      <c r="C31" s="184"/>
      <c r="D31" s="152" t="s">
        <v>40</v>
      </c>
      <c r="E31" s="169" t="s">
        <v>89</v>
      </c>
      <c r="F31" s="184">
        <f>10* 52471</f>
        <v>524710</v>
      </c>
      <c r="G31" s="82" t="s">
        <v>23</v>
      </c>
      <c r="H31" s="82" t="s">
        <v>41</v>
      </c>
      <c r="I31" s="82">
        <v>1399</v>
      </c>
      <c r="J31" s="64" t="s">
        <v>25</v>
      </c>
      <c r="K31" s="246">
        <v>1</v>
      </c>
      <c r="L31" s="230" t="s">
        <v>1828</v>
      </c>
      <c r="M31" s="229" t="s">
        <v>33</v>
      </c>
      <c r="N31" s="444" t="s">
        <v>607</v>
      </c>
      <c r="O31" s="22" t="s">
        <v>959</v>
      </c>
      <c r="P31" s="842"/>
    </row>
    <row r="32" spans="1:16" s="34" customFormat="1" ht="72">
      <c r="A32" s="588">
        <v>26</v>
      </c>
      <c r="B32" s="6"/>
      <c r="C32" s="184"/>
      <c r="D32" s="445" t="s">
        <v>40</v>
      </c>
      <c r="E32" s="164" t="s">
        <v>974</v>
      </c>
      <c r="F32" s="184">
        <f>200*2617</f>
        <v>523400</v>
      </c>
      <c r="G32" s="82" t="s">
        <v>23</v>
      </c>
      <c r="H32" s="82" t="s">
        <v>41</v>
      </c>
      <c r="I32" s="82">
        <v>1399</v>
      </c>
      <c r="J32" s="452" t="s">
        <v>25</v>
      </c>
      <c r="K32" s="246">
        <v>1</v>
      </c>
      <c r="L32" s="230"/>
      <c r="M32" s="229" t="s">
        <v>33</v>
      </c>
      <c r="N32" s="444"/>
      <c r="O32" s="22"/>
      <c r="P32" s="449"/>
    </row>
    <row r="33" spans="1:16" s="34" customFormat="1" ht="72">
      <c r="A33" s="588">
        <v>27</v>
      </c>
      <c r="B33" s="6" t="s">
        <v>603</v>
      </c>
      <c r="C33" s="184"/>
      <c r="D33" s="152" t="s">
        <v>40</v>
      </c>
      <c r="E33" s="169" t="s">
        <v>137</v>
      </c>
      <c r="F33" s="184">
        <f>100*1518</f>
        <v>151800</v>
      </c>
      <c r="G33" s="82" t="s">
        <v>23</v>
      </c>
      <c r="H33" s="82" t="s">
        <v>41</v>
      </c>
      <c r="I33" s="82">
        <v>1399</v>
      </c>
      <c r="J33" s="64" t="s">
        <v>25</v>
      </c>
      <c r="K33" s="246">
        <v>1</v>
      </c>
      <c r="L33" s="230"/>
      <c r="M33" s="229" t="s">
        <v>33</v>
      </c>
      <c r="N33" s="244"/>
      <c r="O33" s="57"/>
      <c r="P33" s="58"/>
    </row>
    <row r="34" spans="1:16" s="34" customFormat="1" ht="72">
      <c r="A34" s="588">
        <v>28</v>
      </c>
      <c r="B34" s="6" t="s">
        <v>603</v>
      </c>
      <c r="C34" s="184"/>
      <c r="D34" s="152" t="s">
        <v>40</v>
      </c>
      <c r="E34" s="169" t="s">
        <v>48</v>
      </c>
      <c r="F34" s="184">
        <f>2* 42514</f>
        <v>85028</v>
      </c>
      <c r="G34" s="82" t="s">
        <v>23</v>
      </c>
      <c r="H34" s="82" t="s">
        <v>41</v>
      </c>
      <c r="I34" s="82">
        <v>1399</v>
      </c>
      <c r="J34" s="64" t="s">
        <v>25</v>
      </c>
      <c r="K34" s="246">
        <v>1</v>
      </c>
      <c r="L34" s="230"/>
      <c r="M34" s="229" t="s">
        <v>33</v>
      </c>
      <c r="N34" s="244"/>
      <c r="O34" s="57"/>
      <c r="P34" s="654"/>
    </row>
    <row r="35" spans="1:16" s="34" customFormat="1" ht="72">
      <c r="A35" s="588">
        <v>29</v>
      </c>
      <c r="B35" s="6" t="s">
        <v>603</v>
      </c>
      <c r="C35" s="184"/>
      <c r="D35" s="152" t="s">
        <v>40</v>
      </c>
      <c r="E35" s="57" t="s">
        <v>152</v>
      </c>
      <c r="F35" s="184">
        <f>50*1041</f>
        <v>52050</v>
      </c>
      <c r="G35" s="82" t="s">
        <v>23</v>
      </c>
      <c r="H35" s="82" t="s">
        <v>41</v>
      </c>
      <c r="I35" s="82">
        <v>1399</v>
      </c>
      <c r="J35" s="64" t="s">
        <v>25</v>
      </c>
      <c r="K35" s="246">
        <v>1</v>
      </c>
      <c r="L35" s="230"/>
      <c r="M35" s="229" t="s">
        <v>33</v>
      </c>
      <c r="N35" s="244"/>
      <c r="O35" s="57"/>
      <c r="P35" s="654"/>
    </row>
    <row r="36" spans="1:16" s="34" customFormat="1" ht="108">
      <c r="A36" s="588">
        <v>30</v>
      </c>
      <c r="B36" s="6" t="s">
        <v>603</v>
      </c>
      <c r="C36" s="184"/>
      <c r="D36" s="152" t="s">
        <v>40</v>
      </c>
      <c r="E36" s="57" t="s">
        <v>153</v>
      </c>
      <c r="F36" s="184">
        <f>100* 729</f>
        <v>72900</v>
      </c>
      <c r="G36" s="82" t="s">
        <v>23</v>
      </c>
      <c r="H36" s="82" t="s">
        <v>41</v>
      </c>
      <c r="I36" s="82">
        <v>1399</v>
      </c>
      <c r="J36" s="64" t="s">
        <v>25</v>
      </c>
      <c r="K36" s="246">
        <v>1</v>
      </c>
      <c r="L36" s="230" t="s">
        <v>1828</v>
      </c>
      <c r="M36" s="229" t="s">
        <v>33</v>
      </c>
      <c r="N36" s="653" t="s">
        <v>607</v>
      </c>
      <c r="O36" s="22" t="s">
        <v>959</v>
      </c>
      <c r="P36" s="654"/>
    </row>
    <row r="37" spans="1:16" s="34" customFormat="1" ht="108">
      <c r="A37" s="588">
        <v>31</v>
      </c>
      <c r="B37" s="6" t="s">
        <v>603</v>
      </c>
      <c r="C37" s="184"/>
      <c r="D37" s="152" t="s">
        <v>40</v>
      </c>
      <c r="E37" s="57" t="s">
        <v>93</v>
      </c>
      <c r="F37" s="184">
        <f>100* 911</f>
        <v>91100</v>
      </c>
      <c r="G37" s="82" t="s">
        <v>23</v>
      </c>
      <c r="H37" s="82" t="s">
        <v>41</v>
      </c>
      <c r="I37" s="82">
        <v>1399</v>
      </c>
      <c r="J37" s="64" t="s">
        <v>25</v>
      </c>
      <c r="K37" s="246">
        <v>1</v>
      </c>
      <c r="L37" s="230" t="s">
        <v>1828</v>
      </c>
      <c r="M37" s="229" t="s">
        <v>33</v>
      </c>
      <c r="N37" s="444" t="s">
        <v>607</v>
      </c>
      <c r="O37" s="22" t="s">
        <v>959</v>
      </c>
      <c r="P37" s="654"/>
    </row>
    <row r="38" spans="1:16" s="34" customFormat="1" ht="72">
      <c r="A38" s="588">
        <v>32</v>
      </c>
      <c r="B38" s="6" t="s">
        <v>603</v>
      </c>
      <c r="C38" s="184"/>
      <c r="D38" s="152" t="s">
        <v>40</v>
      </c>
      <c r="E38" s="169" t="s">
        <v>234</v>
      </c>
      <c r="F38" s="184">
        <f>500* 315</f>
        <v>157500</v>
      </c>
      <c r="G38" s="82" t="s">
        <v>23</v>
      </c>
      <c r="H38" s="82" t="s">
        <v>41</v>
      </c>
      <c r="I38" s="82">
        <v>1399</v>
      </c>
      <c r="J38" s="64" t="s">
        <v>25</v>
      </c>
      <c r="K38" s="246">
        <v>1</v>
      </c>
      <c r="L38" s="230"/>
      <c r="M38" s="229" t="s">
        <v>33</v>
      </c>
      <c r="N38" s="244"/>
      <c r="O38" s="57"/>
      <c r="P38" s="654"/>
    </row>
    <row r="39" spans="1:16" s="34" customFormat="1" ht="72">
      <c r="A39" s="588">
        <v>33</v>
      </c>
      <c r="B39" s="6" t="s">
        <v>603</v>
      </c>
      <c r="C39" s="184"/>
      <c r="D39" s="152" t="s">
        <v>40</v>
      </c>
      <c r="E39" s="169" t="s">
        <v>94</v>
      </c>
      <c r="F39" s="184">
        <f>2* 45570</f>
        <v>91140</v>
      </c>
      <c r="G39" s="82" t="s">
        <v>23</v>
      </c>
      <c r="H39" s="82" t="s">
        <v>41</v>
      </c>
      <c r="I39" s="82">
        <v>1399</v>
      </c>
      <c r="J39" s="64" t="s">
        <v>25</v>
      </c>
      <c r="K39" s="246">
        <v>1</v>
      </c>
      <c r="L39" s="230"/>
      <c r="M39" s="229" t="s">
        <v>33</v>
      </c>
      <c r="N39" s="244"/>
      <c r="O39" s="57"/>
      <c r="P39" s="58"/>
    </row>
    <row r="40" spans="1:16" s="34" customFormat="1" ht="108">
      <c r="A40" s="588">
        <v>34</v>
      </c>
      <c r="B40" s="6" t="s">
        <v>603</v>
      </c>
      <c r="C40" s="184"/>
      <c r="D40" s="152" t="s">
        <v>40</v>
      </c>
      <c r="E40" s="169" t="s">
        <v>51</v>
      </c>
      <c r="F40" s="184">
        <f>5* 10416</f>
        <v>52080</v>
      </c>
      <c r="G40" s="82" t="s">
        <v>23</v>
      </c>
      <c r="H40" s="82" t="s">
        <v>41</v>
      </c>
      <c r="I40" s="82">
        <v>1399</v>
      </c>
      <c r="J40" s="64" t="s">
        <v>25</v>
      </c>
      <c r="K40" s="246">
        <v>1</v>
      </c>
      <c r="L40" s="230" t="s">
        <v>1828</v>
      </c>
      <c r="M40" s="229" t="s">
        <v>33</v>
      </c>
      <c r="N40" s="444" t="s">
        <v>607</v>
      </c>
      <c r="O40" s="22" t="s">
        <v>959</v>
      </c>
      <c r="P40" s="842"/>
    </row>
    <row r="41" spans="1:16" s="34" customFormat="1" ht="108">
      <c r="A41" s="588">
        <v>35</v>
      </c>
      <c r="B41" s="6" t="s">
        <v>603</v>
      </c>
      <c r="C41" s="184"/>
      <c r="D41" s="152" t="s">
        <v>40</v>
      </c>
      <c r="E41" s="169" t="s">
        <v>270</v>
      </c>
      <c r="F41" s="184">
        <f>5* 36456</f>
        <v>182280</v>
      </c>
      <c r="G41" s="82" t="s">
        <v>23</v>
      </c>
      <c r="H41" s="82" t="s">
        <v>41</v>
      </c>
      <c r="I41" s="82">
        <v>1399</v>
      </c>
      <c r="J41" s="64" t="s">
        <v>25</v>
      </c>
      <c r="K41" s="246">
        <v>1</v>
      </c>
      <c r="L41" s="230" t="s">
        <v>1828</v>
      </c>
      <c r="M41" s="229" t="s">
        <v>33</v>
      </c>
      <c r="N41" s="444" t="s">
        <v>607</v>
      </c>
      <c r="O41" s="22" t="s">
        <v>959</v>
      </c>
      <c r="P41" s="842"/>
    </row>
    <row r="42" spans="1:16" s="34" customFormat="1" ht="69" customHeight="1">
      <c r="A42" s="588">
        <v>36</v>
      </c>
      <c r="B42" s="6" t="s">
        <v>603</v>
      </c>
      <c r="C42" s="184"/>
      <c r="D42" s="152" t="s">
        <v>40</v>
      </c>
      <c r="E42" s="169" t="s">
        <v>126</v>
      </c>
      <c r="F42" s="184">
        <v>396797</v>
      </c>
      <c r="G42" s="82" t="s">
        <v>23</v>
      </c>
      <c r="H42" s="82" t="s">
        <v>41</v>
      </c>
      <c r="I42" s="82">
        <v>1399</v>
      </c>
      <c r="J42" s="64" t="s">
        <v>25</v>
      </c>
      <c r="K42" s="246">
        <v>1</v>
      </c>
      <c r="L42" s="230" t="s">
        <v>1828</v>
      </c>
      <c r="M42" s="229" t="s">
        <v>33</v>
      </c>
      <c r="N42" s="444" t="s">
        <v>607</v>
      </c>
      <c r="O42" s="22" t="s">
        <v>959</v>
      </c>
      <c r="P42" s="58"/>
    </row>
    <row r="43" spans="1:16" s="34" customFormat="1" ht="108">
      <c r="A43" s="588">
        <v>37</v>
      </c>
      <c r="B43" s="6" t="s">
        <v>603</v>
      </c>
      <c r="C43" s="184"/>
      <c r="D43" s="152" t="s">
        <v>40</v>
      </c>
      <c r="E43" s="169" t="s">
        <v>612</v>
      </c>
      <c r="F43" s="184"/>
      <c r="G43" s="82" t="s">
        <v>23</v>
      </c>
      <c r="H43" s="82" t="s">
        <v>41</v>
      </c>
      <c r="I43" s="82">
        <v>1399</v>
      </c>
      <c r="J43" s="64" t="s">
        <v>25</v>
      </c>
      <c r="K43" s="246">
        <v>1</v>
      </c>
      <c r="L43" s="230" t="s">
        <v>1828</v>
      </c>
      <c r="M43" s="229" t="s">
        <v>33</v>
      </c>
      <c r="N43" s="444" t="s">
        <v>607</v>
      </c>
      <c r="O43" s="22" t="s">
        <v>959</v>
      </c>
      <c r="P43" s="842"/>
    </row>
    <row r="44" spans="1:16" s="34" customFormat="1" ht="108">
      <c r="A44" s="588">
        <v>38</v>
      </c>
      <c r="B44" s="6" t="s">
        <v>603</v>
      </c>
      <c r="C44" s="184"/>
      <c r="D44" s="152" t="s">
        <v>40</v>
      </c>
      <c r="E44" s="169" t="s">
        <v>611</v>
      </c>
      <c r="F44" s="184">
        <f>18000* 31</f>
        <v>558000</v>
      </c>
      <c r="G44" s="82" t="s">
        <v>23</v>
      </c>
      <c r="H44" s="82" t="s">
        <v>41</v>
      </c>
      <c r="I44" s="82">
        <v>1399</v>
      </c>
      <c r="J44" s="64" t="s">
        <v>25</v>
      </c>
      <c r="K44" s="246">
        <v>1</v>
      </c>
      <c r="L44" s="230" t="s">
        <v>1828</v>
      </c>
      <c r="M44" s="229" t="s">
        <v>33</v>
      </c>
      <c r="N44" s="444" t="s">
        <v>607</v>
      </c>
      <c r="O44" s="22" t="s">
        <v>959</v>
      </c>
      <c r="P44" s="842"/>
    </row>
    <row r="45" spans="1:16" s="34" customFormat="1" ht="108">
      <c r="A45" s="588">
        <v>39</v>
      </c>
      <c r="B45" s="6" t="s">
        <v>603</v>
      </c>
      <c r="C45" s="184"/>
      <c r="D45" s="152" t="s">
        <v>40</v>
      </c>
      <c r="E45" s="169" t="s">
        <v>271</v>
      </c>
      <c r="F45" s="184">
        <f>130000* 6.4</f>
        <v>832000</v>
      </c>
      <c r="G45" s="82" t="s">
        <v>23</v>
      </c>
      <c r="H45" s="82" t="s">
        <v>41</v>
      </c>
      <c r="I45" s="82">
        <v>1399</v>
      </c>
      <c r="J45" s="64" t="s">
        <v>25</v>
      </c>
      <c r="K45" s="246">
        <v>1</v>
      </c>
      <c r="L45" s="230" t="s">
        <v>1828</v>
      </c>
      <c r="M45" s="229" t="s">
        <v>33</v>
      </c>
      <c r="N45" s="444" t="s">
        <v>607</v>
      </c>
      <c r="O45" s="22" t="s">
        <v>959</v>
      </c>
      <c r="P45" s="842"/>
    </row>
    <row r="46" spans="1:16" s="34" customFormat="1" ht="108">
      <c r="A46" s="588">
        <v>40</v>
      </c>
      <c r="B46" s="6" t="s">
        <v>603</v>
      </c>
      <c r="C46" s="184"/>
      <c r="D46" s="152" t="s">
        <v>40</v>
      </c>
      <c r="E46" s="169" t="s">
        <v>52</v>
      </c>
      <c r="F46" s="184">
        <f>7* 38500</f>
        <v>269500</v>
      </c>
      <c r="G46" s="82" t="s">
        <v>23</v>
      </c>
      <c r="H46" s="82" t="s">
        <v>41</v>
      </c>
      <c r="I46" s="82">
        <v>1399</v>
      </c>
      <c r="J46" s="64" t="s">
        <v>25</v>
      </c>
      <c r="K46" s="246">
        <v>1</v>
      </c>
      <c r="L46" s="230" t="s">
        <v>1828</v>
      </c>
      <c r="M46" s="229" t="s">
        <v>33</v>
      </c>
      <c r="N46" s="444" t="s">
        <v>607</v>
      </c>
      <c r="O46" s="22" t="s">
        <v>959</v>
      </c>
      <c r="P46" s="842"/>
    </row>
    <row r="47" spans="1:16" s="34" customFormat="1" ht="108">
      <c r="A47" s="588">
        <v>41</v>
      </c>
      <c r="B47" s="6" t="s">
        <v>603</v>
      </c>
      <c r="C47" s="184"/>
      <c r="D47" s="152" t="s">
        <v>40</v>
      </c>
      <c r="E47" s="169" t="s">
        <v>610</v>
      </c>
      <c r="F47" s="676">
        <v>180000</v>
      </c>
      <c r="G47" s="82" t="s">
        <v>23</v>
      </c>
      <c r="H47" s="82" t="s">
        <v>41</v>
      </c>
      <c r="I47" s="82">
        <v>1399</v>
      </c>
      <c r="J47" s="64" t="s">
        <v>25</v>
      </c>
      <c r="K47" s="246">
        <v>1</v>
      </c>
      <c r="L47" s="230" t="s">
        <v>1828</v>
      </c>
      <c r="M47" s="229" t="s">
        <v>33</v>
      </c>
      <c r="N47" s="444" t="s">
        <v>607</v>
      </c>
      <c r="O47" s="22" t="s">
        <v>959</v>
      </c>
      <c r="P47" s="842"/>
    </row>
    <row r="48" spans="1:16" s="34" customFormat="1" ht="62.45" customHeight="1">
      <c r="A48" s="588">
        <v>42</v>
      </c>
      <c r="B48" s="6" t="s">
        <v>603</v>
      </c>
      <c r="C48" s="184"/>
      <c r="D48" s="152" t="s">
        <v>40</v>
      </c>
      <c r="E48" s="169" t="s">
        <v>609</v>
      </c>
      <c r="F48" s="676">
        <v>650000</v>
      </c>
      <c r="G48" s="82" t="s">
        <v>23</v>
      </c>
      <c r="H48" s="82" t="s">
        <v>41</v>
      </c>
      <c r="I48" s="82">
        <v>1399</v>
      </c>
      <c r="J48" s="64" t="s">
        <v>25</v>
      </c>
      <c r="K48" s="246">
        <v>1</v>
      </c>
      <c r="L48" s="230" t="s">
        <v>1828</v>
      </c>
      <c r="M48" s="229" t="s">
        <v>33</v>
      </c>
      <c r="N48" s="444" t="s">
        <v>607</v>
      </c>
      <c r="O48" s="22" t="s">
        <v>959</v>
      </c>
      <c r="P48" s="842"/>
    </row>
    <row r="49" spans="1:16" s="34" customFormat="1" ht="75.599999999999994" customHeight="1">
      <c r="A49" s="588">
        <v>43</v>
      </c>
      <c r="B49" s="6" t="s">
        <v>603</v>
      </c>
      <c r="C49" s="184"/>
      <c r="D49" s="152" t="s">
        <v>40</v>
      </c>
      <c r="E49" s="169" t="s">
        <v>96</v>
      </c>
      <c r="F49" s="184">
        <v>2695000</v>
      </c>
      <c r="G49" s="82" t="s">
        <v>23</v>
      </c>
      <c r="H49" s="82" t="s">
        <v>41</v>
      </c>
      <c r="I49" s="82">
        <v>1399</v>
      </c>
      <c r="J49" s="64" t="s">
        <v>25</v>
      </c>
      <c r="K49" s="246">
        <v>1</v>
      </c>
      <c r="L49" s="230" t="s">
        <v>1828</v>
      </c>
      <c r="M49" s="229" t="s">
        <v>33</v>
      </c>
      <c r="N49" s="444" t="s">
        <v>607</v>
      </c>
      <c r="O49" s="22" t="s">
        <v>959</v>
      </c>
      <c r="P49" s="842"/>
    </row>
    <row r="50" spans="1:16" s="34" customFormat="1" ht="72">
      <c r="A50" s="588">
        <v>44</v>
      </c>
      <c r="B50" s="6" t="s">
        <v>603</v>
      </c>
      <c r="C50" s="184"/>
      <c r="D50" s="152" t="s">
        <v>40</v>
      </c>
      <c r="E50" s="169" t="s">
        <v>486</v>
      </c>
      <c r="F50" s="184">
        <f>6*66000</f>
        <v>396000</v>
      </c>
      <c r="G50" s="82" t="s">
        <v>23</v>
      </c>
      <c r="H50" s="82" t="s">
        <v>41</v>
      </c>
      <c r="I50" s="82">
        <v>1399</v>
      </c>
      <c r="J50" s="64" t="s">
        <v>25</v>
      </c>
      <c r="K50" s="246">
        <v>1</v>
      </c>
      <c r="L50" s="230"/>
      <c r="M50" s="229" t="s">
        <v>33</v>
      </c>
      <c r="N50" s="244"/>
      <c r="O50" s="57"/>
      <c r="P50" s="842"/>
    </row>
    <row r="51" spans="1:16" s="34" customFormat="1" ht="72">
      <c r="A51" s="588">
        <v>45</v>
      </c>
      <c r="B51" s="6" t="s">
        <v>603</v>
      </c>
      <c r="C51" s="184"/>
      <c r="D51" s="152" t="s">
        <v>40</v>
      </c>
      <c r="E51" s="169" t="s">
        <v>485</v>
      </c>
      <c r="F51" s="184">
        <f>12* 30000</f>
        <v>360000</v>
      </c>
      <c r="G51" s="82" t="s">
        <v>23</v>
      </c>
      <c r="H51" s="82" t="s">
        <v>41</v>
      </c>
      <c r="I51" s="82">
        <v>1399</v>
      </c>
      <c r="J51" s="64" t="s">
        <v>25</v>
      </c>
      <c r="K51" s="246">
        <v>1</v>
      </c>
      <c r="L51" s="230"/>
      <c r="M51" s="229" t="s">
        <v>33</v>
      </c>
      <c r="N51" s="244"/>
      <c r="O51" s="57"/>
      <c r="P51" s="842"/>
    </row>
    <row r="52" spans="1:16" s="34" customFormat="1" ht="63" customHeight="1">
      <c r="A52" s="588">
        <v>46</v>
      </c>
      <c r="B52" s="6" t="s">
        <v>603</v>
      </c>
      <c r="C52" s="184"/>
      <c r="D52" s="80" t="s">
        <v>40</v>
      </c>
      <c r="E52" s="169" t="s">
        <v>608</v>
      </c>
      <c r="F52" s="184">
        <f>780* 900</f>
        <v>702000</v>
      </c>
      <c r="G52" s="82" t="s">
        <v>23</v>
      </c>
      <c r="H52" s="82" t="s">
        <v>41</v>
      </c>
      <c r="I52" s="82">
        <v>1399</v>
      </c>
      <c r="J52" s="64" t="s">
        <v>25</v>
      </c>
      <c r="K52" s="246">
        <v>1</v>
      </c>
      <c r="L52" s="230" t="s">
        <v>1828</v>
      </c>
      <c r="M52" s="229" t="s">
        <v>33</v>
      </c>
      <c r="N52" s="444" t="s">
        <v>607</v>
      </c>
      <c r="O52" s="22" t="s">
        <v>959</v>
      </c>
      <c r="P52" s="842"/>
    </row>
    <row r="53" spans="1:16" ht="144">
      <c r="A53" s="678">
        <v>47</v>
      </c>
      <c r="B53" s="6" t="s">
        <v>75</v>
      </c>
      <c r="C53" s="37"/>
      <c r="D53" s="237" t="s">
        <v>76</v>
      </c>
      <c r="E53" s="231" t="s">
        <v>606</v>
      </c>
      <c r="F53" s="35">
        <v>265142990</v>
      </c>
      <c r="G53" s="19" t="s">
        <v>23</v>
      </c>
      <c r="H53" s="22" t="s">
        <v>77</v>
      </c>
      <c r="I53" s="19">
        <v>1399</v>
      </c>
      <c r="J53" s="22" t="s">
        <v>25</v>
      </c>
      <c r="K53" s="246">
        <v>0.89</v>
      </c>
      <c r="L53" s="33" t="s">
        <v>17</v>
      </c>
      <c r="M53" s="229" t="s">
        <v>33</v>
      </c>
      <c r="N53" s="33"/>
      <c r="O53" s="33"/>
      <c r="P53" s="33" t="s">
        <v>1861</v>
      </c>
    </row>
    <row r="54" spans="1:16" s="34" customFormat="1" ht="72">
      <c r="A54" s="678">
        <v>48</v>
      </c>
      <c r="B54" s="6" t="s">
        <v>603</v>
      </c>
      <c r="C54" s="37" t="s">
        <v>1359</v>
      </c>
      <c r="D54" s="462" t="s">
        <v>111</v>
      </c>
      <c r="E54" s="169" t="s">
        <v>605</v>
      </c>
      <c r="F54" s="184">
        <v>515000</v>
      </c>
      <c r="G54" s="82" t="s">
        <v>23</v>
      </c>
      <c r="H54" s="82" t="s">
        <v>77</v>
      </c>
      <c r="I54" s="82">
        <v>1399</v>
      </c>
      <c r="J54" s="466" t="s">
        <v>25</v>
      </c>
      <c r="K54" s="246">
        <v>1</v>
      </c>
      <c r="L54" s="469"/>
      <c r="M54" s="229" t="s">
        <v>33</v>
      </c>
      <c r="N54" s="353"/>
      <c r="O54" s="353"/>
      <c r="P54" s="459"/>
    </row>
    <row r="55" spans="1:16" s="34" customFormat="1" ht="54">
      <c r="A55" s="678">
        <v>49</v>
      </c>
      <c r="B55" s="6" t="s">
        <v>603</v>
      </c>
      <c r="C55" s="37" t="s">
        <v>1004</v>
      </c>
      <c r="D55" s="462" t="s">
        <v>111</v>
      </c>
      <c r="E55" s="456" t="s">
        <v>266</v>
      </c>
      <c r="F55" s="184">
        <v>160000</v>
      </c>
      <c r="G55" s="82" t="s">
        <v>23</v>
      </c>
      <c r="H55" s="82" t="s">
        <v>77</v>
      </c>
      <c r="I55" s="82">
        <v>1399</v>
      </c>
      <c r="J55" s="466" t="s">
        <v>25</v>
      </c>
      <c r="K55" s="238">
        <v>1</v>
      </c>
      <c r="L55" s="82"/>
      <c r="M55" s="22" t="s">
        <v>33</v>
      </c>
      <c r="N55" s="467"/>
      <c r="O55" s="33"/>
      <c r="P55" s="459"/>
    </row>
    <row r="56" spans="1:16" s="34" customFormat="1" ht="54">
      <c r="A56" s="678">
        <v>50</v>
      </c>
      <c r="B56" s="6" t="s">
        <v>603</v>
      </c>
      <c r="C56" s="37" t="s">
        <v>184</v>
      </c>
      <c r="D56" s="462" t="s">
        <v>111</v>
      </c>
      <c r="E56" s="456" t="s">
        <v>604</v>
      </c>
      <c r="F56" s="184">
        <v>788280</v>
      </c>
      <c r="G56" s="82" t="s">
        <v>23</v>
      </c>
      <c r="H56" s="82" t="s">
        <v>77</v>
      </c>
      <c r="I56" s="82">
        <v>1399</v>
      </c>
      <c r="J56" s="466" t="s">
        <v>25</v>
      </c>
      <c r="K56" s="238">
        <v>1</v>
      </c>
      <c r="L56" s="82"/>
      <c r="M56" s="22" t="s">
        <v>33</v>
      </c>
      <c r="N56" s="33"/>
      <c r="O56" s="33"/>
      <c r="P56" s="459"/>
    </row>
    <row r="57" spans="1:16" s="559" customFormat="1" ht="61.5" customHeight="1">
      <c r="A57" s="678">
        <v>51</v>
      </c>
      <c r="B57" s="6" t="s">
        <v>603</v>
      </c>
      <c r="C57" s="37"/>
      <c r="D57" s="196" t="s">
        <v>73</v>
      </c>
      <c r="E57" s="231" t="s">
        <v>97</v>
      </c>
      <c r="F57" s="37">
        <v>1282840</v>
      </c>
      <c r="G57" s="561" t="s">
        <v>23</v>
      </c>
      <c r="H57" s="561" t="s">
        <v>77</v>
      </c>
      <c r="I57" s="561">
        <v>1399</v>
      </c>
      <c r="J57" s="33" t="s">
        <v>25</v>
      </c>
      <c r="K57" s="265"/>
      <c r="L57" s="440" t="s">
        <v>72</v>
      </c>
      <c r="M57" s="40"/>
      <c r="N57" s="623" t="s">
        <v>581</v>
      </c>
      <c r="O57" s="236"/>
      <c r="P57" s="560"/>
    </row>
  </sheetData>
  <mergeCells count="22">
    <mergeCell ref="P25:P26"/>
    <mergeCell ref="A1:P4"/>
    <mergeCell ref="A5:A6"/>
    <mergeCell ref="B5:B6"/>
    <mergeCell ref="C5:C6"/>
    <mergeCell ref="D5:D6"/>
    <mergeCell ref="E5:E6"/>
    <mergeCell ref="F5:H5"/>
    <mergeCell ref="I5:I6"/>
    <mergeCell ref="J5:J6"/>
    <mergeCell ref="K5:K6"/>
    <mergeCell ref="L5:M5"/>
    <mergeCell ref="P5:P6"/>
    <mergeCell ref="P13:P14"/>
    <mergeCell ref="P19:P21"/>
    <mergeCell ref="P46:P47"/>
    <mergeCell ref="P48:P49"/>
    <mergeCell ref="P50:P52"/>
    <mergeCell ref="P28:P29"/>
    <mergeCell ref="P30:P31"/>
    <mergeCell ref="P40:P41"/>
    <mergeCell ref="P43:P45"/>
  </mergeCells>
  <printOptions horizontalCentered="1"/>
  <pageMargins left="0.2" right="0.2" top="0.5" bottom="0.5" header="0.3" footer="0.3"/>
  <pageSetup paperSize="9" scale="64" orientation="landscape" r:id="rId1"/>
  <headerFooter>
    <oddFooter>&amp;C&amp;P</oddFooter>
  </headerFooter>
</worksheet>
</file>

<file path=xl/worksheets/sheet25.xml><?xml version="1.0" encoding="utf-8"?>
<worksheet xmlns="http://schemas.openxmlformats.org/spreadsheetml/2006/main" xmlns:r="http://schemas.openxmlformats.org/officeDocument/2006/relationships">
  <sheetPr>
    <tabColor rgb="FF92D050"/>
  </sheetPr>
  <dimension ref="A1:AB50"/>
  <sheetViews>
    <sheetView rightToLeft="1" view="pageBreakPreview" zoomScale="89" zoomScaleSheetLayoutView="89" workbookViewId="0">
      <pane xSplit="1" ySplit="6" topLeftCell="B46" activePane="bottomRight" state="frozen"/>
      <selection pane="topRight" activeCell="B1" sqref="B1"/>
      <selection pane="bottomLeft" activeCell="A4" sqref="A4"/>
      <selection pane="bottomRight" activeCell="K49" sqref="K49"/>
    </sheetView>
  </sheetViews>
  <sheetFormatPr defaultColWidth="9.140625" defaultRowHeight="15"/>
  <cols>
    <col min="1" max="1" width="5.7109375" style="1" customWidth="1"/>
    <col min="2" max="2" width="13.28515625" style="7" customWidth="1"/>
    <col min="3" max="3" width="12.7109375" style="7" customWidth="1"/>
    <col min="4" max="4" width="13.42578125" style="7" customWidth="1"/>
    <col min="5" max="5" width="31.28515625" style="7" customWidth="1"/>
    <col min="6" max="6" width="18" style="2" customWidth="1"/>
    <col min="7" max="7" width="7.42578125" style="2" customWidth="1"/>
    <col min="8" max="8" width="11.7109375" style="2" customWidth="1"/>
    <col min="9" max="9" width="7.140625" style="1" customWidth="1"/>
    <col min="10" max="10" width="14.7109375" style="1" customWidth="1"/>
    <col min="11" max="11" width="6.28515625" style="1" customWidth="1"/>
    <col min="12" max="12" width="9" style="145" bestFit="1" customWidth="1"/>
    <col min="13" max="13" width="14.42578125" style="9" bestFit="1" customWidth="1"/>
    <col min="14" max="14" width="20.7109375" style="9" customWidth="1"/>
    <col min="15" max="15" width="16.28515625" style="9" customWidth="1"/>
    <col min="16" max="16" width="17.140625" style="145" customWidth="1"/>
    <col min="17" max="16384" width="9.140625" style="145"/>
  </cols>
  <sheetData>
    <row r="1" spans="1:16" ht="15" customHeight="1">
      <c r="A1" s="788" t="s">
        <v>1972</v>
      </c>
      <c r="B1" s="789"/>
      <c r="C1" s="789"/>
      <c r="D1" s="789"/>
      <c r="E1" s="789"/>
      <c r="F1" s="789"/>
      <c r="G1" s="789"/>
      <c r="H1" s="789"/>
      <c r="I1" s="789"/>
      <c r="J1" s="789"/>
      <c r="K1" s="789"/>
      <c r="L1" s="789"/>
      <c r="M1" s="789"/>
      <c r="N1" s="789"/>
      <c r="O1" s="789"/>
      <c r="P1" s="789"/>
    </row>
    <row r="2" spans="1:16" ht="15" customHeight="1">
      <c r="A2" s="789"/>
      <c r="B2" s="789"/>
      <c r="C2" s="789"/>
      <c r="D2" s="789"/>
      <c r="E2" s="789"/>
      <c r="F2" s="789"/>
      <c r="G2" s="789"/>
      <c r="H2" s="789"/>
      <c r="I2" s="789"/>
      <c r="J2" s="789"/>
      <c r="K2" s="789"/>
      <c r="L2" s="789"/>
      <c r="M2" s="789"/>
      <c r="N2" s="789"/>
      <c r="O2" s="789"/>
      <c r="P2" s="789"/>
    </row>
    <row r="3" spans="1:16" ht="15" customHeight="1">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37.5" customHeight="1">
      <c r="A5" s="791" t="s">
        <v>0</v>
      </c>
      <c r="B5" s="872" t="s">
        <v>14</v>
      </c>
      <c r="C5" s="872" t="s">
        <v>18</v>
      </c>
      <c r="D5" s="872" t="s">
        <v>1</v>
      </c>
      <c r="E5" s="872" t="s">
        <v>15</v>
      </c>
      <c r="F5" s="791" t="s">
        <v>9</v>
      </c>
      <c r="G5" s="791"/>
      <c r="H5" s="791"/>
      <c r="I5" s="791" t="s">
        <v>7</v>
      </c>
      <c r="J5" s="791" t="s">
        <v>6</v>
      </c>
      <c r="K5" s="791" t="s">
        <v>16</v>
      </c>
      <c r="L5" s="791" t="s">
        <v>2</v>
      </c>
      <c r="M5" s="791"/>
      <c r="N5" s="837" t="s">
        <v>5</v>
      </c>
      <c r="O5" s="837" t="s">
        <v>13</v>
      </c>
      <c r="P5" s="791" t="s">
        <v>8</v>
      </c>
    </row>
    <row r="6" spans="1:16" ht="42">
      <c r="A6" s="791"/>
      <c r="B6" s="872"/>
      <c r="C6" s="872"/>
      <c r="D6" s="872"/>
      <c r="E6" s="872"/>
      <c r="F6" s="146" t="s">
        <v>10</v>
      </c>
      <c r="G6" s="146" t="s">
        <v>11</v>
      </c>
      <c r="H6" s="146" t="s">
        <v>12</v>
      </c>
      <c r="I6" s="791"/>
      <c r="J6" s="791"/>
      <c r="K6" s="791"/>
      <c r="L6" s="146" t="s">
        <v>3</v>
      </c>
      <c r="M6" s="153" t="s">
        <v>4</v>
      </c>
      <c r="N6" s="837"/>
      <c r="O6" s="837"/>
      <c r="P6" s="791"/>
    </row>
    <row r="7" spans="1:16" s="5" customFormat="1" ht="36">
      <c r="A7" s="578">
        <v>1</v>
      </c>
      <c r="B7" s="32" t="s">
        <v>582</v>
      </c>
      <c r="C7" s="32" t="s">
        <v>1682</v>
      </c>
      <c r="D7" s="43" t="s">
        <v>1523</v>
      </c>
      <c r="E7" s="33" t="s">
        <v>1683</v>
      </c>
      <c r="F7" s="47">
        <v>1581298</v>
      </c>
      <c r="G7" s="354" t="s">
        <v>23</v>
      </c>
      <c r="H7" s="354" t="s">
        <v>77</v>
      </c>
      <c r="I7" s="354">
        <v>1399</v>
      </c>
      <c r="J7" s="354" t="s">
        <v>1361</v>
      </c>
      <c r="K7" s="163">
        <v>1</v>
      </c>
      <c r="L7" s="179"/>
      <c r="M7" s="22" t="s">
        <v>33</v>
      </c>
      <c r="N7" s="22"/>
      <c r="O7" s="22"/>
      <c r="P7" s="575"/>
    </row>
    <row r="8" spans="1:16" s="5" customFormat="1" ht="36">
      <c r="A8" s="578">
        <v>2</v>
      </c>
      <c r="B8" s="32" t="s">
        <v>582</v>
      </c>
      <c r="C8" s="32" t="s">
        <v>1684</v>
      </c>
      <c r="D8" s="43" t="s">
        <v>1523</v>
      </c>
      <c r="E8" s="33" t="s">
        <v>1685</v>
      </c>
      <c r="F8" s="47">
        <v>1747435</v>
      </c>
      <c r="G8" s="354" t="s">
        <v>23</v>
      </c>
      <c r="H8" s="354" t="s">
        <v>77</v>
      </c>
      <c r="I8" s="354">
        <v>1399</v>
      </c>
      <c r="J8" s="354" t="s">
        <v>1361</v>
      </c>
      <c r="K8" s="163" t="s">
        <v>17</v>
      </c>
      <c r="L8" s="354" t="s">
        <v>3</v>
      </c>
      <c r="M8" s="22" t="s">
        <v>17</v>
      </c>
      <c r="N8" s="22" t="s">
        <v>1616</v>
      </c>
      <c r="O8" s="22" t="s">
        <v>1613</v>
      </c>
      <c r="P8" s="575" t="s">
        <v>17</v>
      </c>
    </row>
    <row r="9" spans="1:16" s="5" customFormat="1" ht="36">
      <c r="A9" s="587">
        <v>3</v>
      </c>
      <c r="B9" s="32" t="s">
        <v>582</v>
      </c>
      <c r="C9" s="32" t="s">
        <v>1686</v>
      </c>
      <c r="D9" s="43" t="s">
        <v>1523</v>
      </c>
      <c r="E9" s="33" t="s">
        <v>1687</v>
      </c>
      <c r="F9" s="47">
        <v>7522908</v>
      </c>
      <c r="G9" s="354" t="s">
        <v>23</v>
      </c>
      <c r="H9" s="354" t="s">
        <v>77</v>
      </c>
      <c r="I9" s="354">
        <v>1399</v>
      </c>
      <c r="J9" s="354" t="s">
        <v>1361</v>
      </c>
      <c r="K9" s="163">
        <v>1</v>
      </c>
      <c r="L9" s="179"/>
      <c r="M9" s="22" t="s">
        <v>33</v>
      </c>
      <c r="N9" s="22"/>
      <c r="O9" s="22"/>
      <c r="P9" s="575"/>
    </row>
    <row r="10" spans="1:16" ht="43.9" customHeight="1">
      <c r="A10" s="587">
        <v>4</v>
      </c>
      <c r="B10" s="43" t="s">
        <v>582</v>
      </c>
      <c r="C10" s="43"/>
      <c r="D10" s="79" t="s">
        <v>28</v>
      </c>
      <c r="E10" s="79" t="s">
        <v>145</v>
      </c>
      <c r="F10" s="47">
        <v>90000</v>
      </c>
      <c r="G10" s="83" t="s">
        <v>23</v>
      </c>
      <c r="H10" s="83" t="s">
        <v>77</v>
      </c>
      <c r="I10" s="83">
        <v>1399</v>
      </c>
      <c r="J10" s="83" t="s">
        <v>472</v>
      </c>
      <c r="K10" s="24">
        <v>1</v>
      </c>
      <c r="L10" s="19"/>
      <c r="M10" s="22" t="s">
        <v>33</v>
      </c>
      <c r="N10" s="22"/>
      <c r="O10" s="22"/>
      <c r="P10" s="110" t="s">
        <v>17</v>
      </c>
    </row>
    <row r="11" spans="1:16" ht="50.45" customHeight="1">
      <c r="A11" s="677">
        <v>5</v>
      </c>
      <c r="B11" s="43" t="s">
        <v>582</v>
      </c>
      <c r="C11" s="43"/>
      <c r="D11" s="57" t="s">
        <v>28</v>
      </c>
      <c r="E11" s="57" t="s">
        <v>602</v>
      </c>
      <c r="F11" s="177">
        <v>5880000</v>
      </c>
      <c r="G11" s="83" t="s">
        <v>23</v>
      </c>
      <c r="H11" s="83" t="s">
        <v>77</v>
      </c>
      <c r="I11" s="83">
        <v>1399</v>
      </c>
      <c r="J11" s="83" t="s">
        <v>472</v>
      </c>
      <c r="K11" s="24">
        <v>1</v>
      </c>
      <c r="L11" s="82"/>
      <c r="M11" s="22" t="s">
        <v>33</v>
      </c>
      <c r="N11" s="65"/>
      <c r="O11" s="65"/>
      <c r="P11" s="260" t="s">
        <v>17</v>
      </c>
    </row>
    <row r="12" spans="1:16" ht="58.9" customHeight="1">
      <c r="A12" s="677">
        <v>6</v>
      </c>
      <c r="B12" s="43" t="s">
        <v>582</v>
      </c>
      <c r="C12" s="43"/>
      <c r="D12" s="57" t="s">
        <v>116</v>
      </c>
      <c r="E12" s="64" t="s">
        <v>22</v>
      </c>
      <c r="F12" s="177">
        <v>640000</v>
      </c>
      <c r="G12" s="83" t="s">
        <v>23</v>
      </c>
      <c r="H12" s="83" t="s">
        <v>77</v>
      </c>
      <c r="I12" s="83">
        <v>1399</v>
      </c>
      <c r="J12" s="83" t="s">
        <v>472</v>
      </c>
      <c r="K12" s="24">
        <v>1</v>
      </c>
      <c r="L12" s="82"/>
      <c r="M12" s="65" t="s">
        <v>33</v>
      </c>
      <c r="N12" s="65"/>
      <c r="O12" s="65"/>
      <c r="P12" s="260"/>
    </row>
    <row r="13" spans="1:16" ht="73.900000000000006" customHeight="1">
      <c r="A13" s="677">
        <v>7</v>
      </c>
      <c r="B13" s="43" t="s">
        <v>582</v>
      </c>
      <c r="C13" s="43"/>
      <c r="D13" s="57" t="s">
        <v>116</v>
      </c>
      <c r="E13" s="64" t="s">
        <v>131</v>
      </c>
      <c r="F13" s="177">
        <v>17000</v>
      </c>
      <c r="G13" s="83" t="s">
        <v>23</v>
      </c>
      <c r="H13" s="83" t="s">
        <v>77</v>
      </c>
      <c r="I13" s="83">
        <v>1399</v>
      </c>
      <c r="J13" s="83" t="s">
        <v>472</v>
      </c>
      <c r="K13" s="235">
        <v>1</v>
      </c>
      <c r="L13" s="82"/>
      <c r="M13" s="65" t="s">
        <v>33</v>
      </c>
      <c r="N13" s="65"/>
      <c r="O13" s="65"/>
      <c r="P13" s="260"/>
    </row>
    <row r="14" spans="1:16" ht="75" customHeight="1">
      <c r="A14" s="677">
        <v>8</v>
      </c>
      <c r="B14" s="43" t="s">
        <v>582</v>
      </c>
      <c r="C14" s="43"/>
      <c r="D14" s="57" t="s">
        <v>31</v>
      </c>
      <c r="E14" s="64" t="s">
        <v>119</v>
      </c>
      <c r="F14" s="177">
        <v>452400</v>
      </c>
      <c r="G14" s="83" t="s">
        <v>23</v>
      </c>
      <c r="H14" s="83" t="s">
        <v>77</v>
      </c>
      <c r="I14" s="83">
        <v>1399</v>
      </c>
      <c r="J14" s="83" t="s">
        <v>472</v>
      </c>
      <c r="K14" s="235">
        <v>1</v>
      </c>
      <c r="L14" s="218"/>
      <c r="M14" s="692" t="s">
        <v>33</v>
      </c>
      <c r="N14" s="228"/>
      <c r="O14" s="6"/>
      <c r="P14" s="170" t="s">
        <v>17</v>
      </c>
    </row>
    <row r="15" spans="1:16" ht="68.25" customHeight="1">
      <c r="A15" s="677">
        <v>9</v>
      </c>
      <c r="B15" s="43" t="s">
        <v>582</v>
      </c>
      <c r="C15" s="43"/>
      <c r="D15" s="57" t="s">
        <v>31</v>
      </c>
      <c r="E15" s="64" t="s">
        <v>120</v>
      </c>
      <c r="F15" s="177">
        <v>403362</v>
      </c>
      <c r="G15" s="83" t="s">
        <v>23</v>
      </c>
      <c r="H15" s="83" t="s">
        <v>77</v>
      </c>
      <c r="I15" s="83">
        <v>1399</v>
      </c>
      <c r="J15" s="83" t="s">
        <v>472</v>
      </c>
      <c r="K15" s="235">
        <v>1</v>
      </c>
      <c r="L15" s="218"/>
      <c r="M15" s="692" t="s">
        <v>33</v>
      </c>
      <c r="N15" s="228"/>
      <c r="O15" s="6"/>
      <c r="P15" s="170"/>
    </row>
    <row r="16" spans="1:16" ht="68.25" customHeight="1">
      <c r="A16" s="677">
        <v>10</v>
      </c>
      <c r="B16" s="43" t="s">
        <v>582</v>
      </c>
      <c r="C16" s="43"/>
      <c r="D16" s="57" t="s">
        <v>31</v>
      </c>
      <c r="E16" s="64" t="s">
        <v>121</v>
      </c>
      <c r="F16" s="177">
        <v>294280</v>
      </c>
      <c r="G16" s="83" t="s">
        <v>23</v>
      </c>
      <c r="H16" s="83" t="s">
        <v>77</v>
      </c>
      <c r="I16" s="83">
        <v>1399</v>
      </c>
      <c r="J16" s="83" t="s">
        <v>472</v>
      </c>
      <c r="K16" s="235">
        <v>1</v>
      </c>
      <c r="L16" s="218"/>
      <c r="M16" s="692" t="s">
        <v>33</v>
      </c>
      <c r="N16" s="228"/>
      <c r="O16" s="6"/>
      <c r="P16" s="170" t="s">
        <v>17</v>
      </c>
    </row>
    <row r="17" spans="1:28" ht="68.25" customHeight="1">
      <c r="A17" s="677">
        <v>11</v>
      </c>
      <c r="B17" s="43" t="s">
        <v>582</v>
      </c>
      <c r="C17" s="43"/>
      <c r="D17" s="57" t="s">
        <v>31</v>
      </c>
      <c r="E17" s="64" t="s">
        <v>122</v>
      </c>
      <c r="F17" s="177">
        <v>254000</v>
      </c>
      <c r="G17" s="83" t="s">
        <v>23</v>
      </c>
      <c r="H17" s="83" t="s">
        <v>77</v>
      </c>
      <c r="I17" s="83">
        <v>1399</v>
      </c>
      <c r="J17" s="83" t="s">
        <v>472</v>
      </c>
      <c r="K17" s="235">
        <v>1</v>
      </c>
      <c r="L17" s="218"/>
      <c r="M17" s="692" t="s">
        <v>33</v>
      </c>
      <c r="N17" s="228"/>
      <c r="O17" s="6"/>
      <c r="P17" s="170"/>
    </row>
    <row r="18" spans="1:28" ht="133.9" customHeight="1">
      <c r="A18" s="677">
        <v>12</v>
      </c>
      <c r="B18" s="43" t="s">
        <v>582</v>
      </c>
      <c r="C18" s="58" t="s">
        <v>601</v>
      </c>
      <c r="D18" s="57" t="s">
        <v>54</v>
      </c>
      <c r="E18" s="263" t="s">
        <v>600</v>
      </c>
      <c r="F18" s="177">
        <v>4729070</v>
      </c>
      <c r="G18" s="83" t="s">
        <v>23</v>
      </c>
      <c r="H18" s="83" t="s">
        <v>77</v>
      </c>
      <c r="I18" s="83">
        <v>1399</v>
      </c>
      <c r="J18" s="83" t="s">
        <v>472</v>
      </c>
      <c r="K18" s="235">
        <v>1</v>
      </c>
      <c r="L18" s="80"/>
      <c r="M18" s="692" t="s">
        <v>33</v>
      </c>
      <c r="N18" s="152"/>
      <c r="O18" s="6"/>
      <c r="P18" s="58"/>
    </row>
    <row r="19" spans="1:28" ht="81" customHeight="1">
      <c r="A19" s="677">
        <v>13</v>
      </c>
      <c r="B19" s="43" t="s">
        <v>582</v>
      </c>
      <c r="C19" s="43"/>
      <c r="D19" s="64" t="s">
        <v>40</v>
      </c>
      <c r="E19" s="43" t="s">
        <v>133</v>
      </c>
      <c r="F19" s="177"/>
      <c r="G19" s="83" t="s">
        <v>23</v>
      </c>
      <c r="H19" s="83" t="s">
        <v>41</v>
      </c>
      <c r="I19" s="83">
        <v>1399</v>
      </c>
      <c r="J19" s="83" t="s">
        <v>472</v>
      </c>
      <c r="K19" s="235">
        <v>1</v>
      </c>
      <c r="L19" s="218" t="s">
        <v>1828</v>
      </c>
      <c r="M19" s="692" t="s">
        <v>33</v>
      </c>
      <c r="N19" s="352" t="s">
        <v>325</v>
      </c>
      <c r="O19" s="352" t="s">
        <v>56</v>
      </c>
      <c r="P19" s="352"/>
    </row>
    <row r="20" spans="1:28" ht="72">
      <c r="A20" s="677">
        <v>14</v>
      </c>
      <c r="B20" s="43" t="s">
        <v>582</v>
      </c>
      <c r="C20" s="43"/>
      <c r="D20" s="64" t="s">
        <v>40</v>
      </c>
      <c r="E20" s="43" t="s">
        <v>208</v>
      </c>
      <c r="F20" s="177">
        <v>4642560</v>
      </c>
      <c r="G20" s="83" t="s">
        <v>23</v>
      </c>
      <c r="H20" s="83" t="s">
        <v>41</v>
      </c>
      <c r="I20" s="83">
        <v>1399</v>
      </c>
      <c r="J20" s="83" t="s">
        <v>472</v>
      </c>
      <c r="K20" s="238">
        <v>1</v>
      </c>
      <c r="L20" s="218" t="s">
        <v>598</v>
      </c>
      <c r="M20" s="692" t="s">
        <v>33</v>
      </c>
      <c r="N20" s="228"/>
      <c r="O20" s="65"/>
      <c r="P20" s="352"/>
    </row>
    <row r="21" spans="1:28" ht="95.45" customHeight="1">
      <c r="A21" s="677">
        <v>15</v>
      </c>
      <c r="B21" s="43" t="s">
        <v>582</v>
      </c>
      <c r="C21" s="43"/>
      <c r="D21" s="64" t="s">
        <v>40</v>
      </c>
      <c r="E21" s="43" t="s">
        <v>209</v>
      </c>
      <c r="F21" s="177" t="s">
        <v>17</v>
      </c>
      <c r="G21" s="83" t="s">
        <v>17</v>
      </c>
      <c r="H21" s="83" t="s">
        <v>17</v>
      </c>
      <c r="I21" s="83">
        <v>1399</v>
      </c>
      <c r="J21" s="83" t="s">
        <v>472</v>
      </c>
      <c r="K21" s="238">
        <v>1</v>
      </c>
      <c r="L21" s="218"/>
      <c r="M21" s="692" t="s">
        <v>33</v>
      </c>
      <c r="N21" s="228"/>
      <c r="O21" s="262"/>
      <c r="P21" s="424" t="s">
        <v>83</v>
      </c>
    </row>
    <row r="22" spans="1:28" ht="72">
      <c r="A22" s="677">
        <v>16</v>
      </c>
      <c r="B22" s="43" t="s">
        <v>582</v>
      </c>
      <c r="C22" s="43"/>
      <c r="D22" s="64" t="s">
        <v>40</v>
      </c>
      <c r="E22" s="43" t="s">
        <v>597</v>
      </c>
      <c r="F22" s="177">
        <v>6791232</v>
      </c>
      <c r="G22" s="83" t="s">
        <v>23</v>
      </c>
      <c r="H22" s="83" t="s">
        <v>41</v>
      </c>
      <c r="I22" s="83">
        <v>1399</v>
      </c>
      <c r="J22" s="83" t="s">
        <v>472</v>
      </c>
      <c r="K22" s="238">
        <v>1</v>
      </c>
      <c r="L22" s="218"/>
      <c r="M22" s="692" t="s">
        <v>33</v>
      </c>
      <c r="N22" s="228"/>
      <c r="O22" s="65"/>
      <c r="P22" s="424"/>
    </row>
    <row r="23" spans="1:28" ht="108">
      <c r="A23" s="677">
        <v>17</v>
      </c>
      <c r="B23" s="43" t="s">
        <v>582</v>
      </c>
      <c r="C23" s="43"/>
      <c r="D23" s="64" t="s">
        <v>40</v>
      </c>
      <c r="E23" s="261" t="s">
        <v>596</v>
      </c>
      <c r="F23" s="177">
        <v>613800</v>
      </c>
      <c r="G23" s="83" t="s">
        <v>23</v>
      </c>
      <c r="H23" s="83" t="s">
        <v>41</v>
      </c>
      <c r="I23" s="83">
        <v>1399</v>
      </c>
      <c r="J23" s="83" t="s">
        <v>472</v>
      </c>
      <c r="K23" s="238">
        <v>1</v>
      </c>
      <c r="L23" s="218" t="s">
        <v>1828</v>
      </c>
      <c r="M23" s="692" t="s">
        <v>33</v>
      </c>
      <c r="N23" s="452" t="s">
        <v>325</v>
      </c>
      <c r="O23" s="452" t="s">
        <v>988</v>
      </c>
      <c r="P23" s="805"/>
    </row>
    <row r="24" spans="1:28" ht="108">
      <c r="A24" s="677">
        <v>18</v>
      </c>
      <c r="B24" s="43" t="s">
        <v>582</v>
      </c>
      <c r="C24" s="43"/>
      <c r="D24" s="64" t="s">
        <v>40</v>
      </c>
      <c r="E24" s="43" t="s">
        <v>595</v>
      </c>
      <c r="F24" s="177">
        <v>6696000</v>
      </c>
      <c r="G24" s="83" t="s">
        <v>23</v>
      </c>
      <c r="H24" s="83" t="s">
        <v>41</v>
      </c>
      <c r="I24" s="83">
        <v>1399</v>
      </c>
      <c r="J24" s="83" t="s">
        <v>472</v>
      </c>
      <c r="K24" s="238">
        <v>1</v>
      </c>
      <c r="L24" s="218" t="s">
        <v>1828</v>
      </c>
      <c r="M24" s="692" t="s">
        <v>33</v>
      </c>
      <c r="N24" s="452" t="s">
        <v>325</v>
      </c>
      <c r="O24" s="452" t="s">
        <v>988</v>
      </c>
      <c r="P24" s="805"/>
    </row>
    <row r="25" spans="1:28" ht="108">
      <c r="A25" s="677">
        <v>19</v>
      </c>
      <c r="B25" s="43" t="s">
        <v>582</v>
      </c>
      <c r="C25" s="43"/>
      <c r="D25" s="64" t="s">
        <v>40</v>
      </c>
      <c r="E25" s="43" t="s">
        <v>594</v>
      </c>
      <c r="F25" s="177">
        <f>304452*6</f>
        <v>1826712</v>
      </c>
      <c r="G25" s="83" t="s">
        <v>23</v>
      </c>
      <c r="H25" s="83" t="s">
        <v>41</v>
      </c>
      <c r="I25" s="83">
        <v>1399</v>
      </c>
      <c r="J25" s="83" t="s">
        <v>472</v>
      </c>
      <c r="K25" s="238">
        <v>1</v>
      </c>
      <c r="L25" s="218" t="s">
        <v>1828</v>
      </c>
      <c r="M25" s="692" t="s">
        <v>33</v>
      </c>
      <c r="N25" s="452" t="s">
        <v>325</v>
      </c>
      <c r="O25" s="452" t="s">
        <v>988</v>
      </c>
      <c r="P25" s="260"/>
    </row>
    <row r="26" spans="1:28" ht="99.6" customHeight="1">
      <c r="A26" s="677">
        <v>20</v>
      </c>
      <c r="B26" s="43" t="s">
        <v>582</v>
      </c>
      <c r="C26" s="43"/>
      <c r="D26" s="64" t="s">
        <v>40</v>
      </c>
      <c r="E26" s="43" t="s">
        <v>593</v>
      </c>
      <c r="F26" s="177">
        <v>1213314</v>
      </c>
      <c r="G26" s="83" t="s">
        <v>23</v>
      </c>
      <c r="H26" s="83" t="s">
        <v>41</v>
      </c>
      <c r="I26" s="83">
        <v>1399</v>
      </c>
      <c r="J26" s="83" t="s">
        <v>472</v>
      </c>
      <c r="K26" s="238">
        <v>1</v>
      </c>
      <c r="L26" s="218" t="s">
        <v>1828</v>
      </c>
      <c r="M26" s="692" t="s">
        <v>33</v>
      </c>
      <c r="N26" s="452" t="s">
        <v>325</v>
      </c>
      <c r="O26" s="452" t="s">
        <v>988</v>
      </c>
      <c r="P26" s="805"/>
    </row>
    <row r="27" spans="1:28" ht="72">
      <c r="A27" s="677">
        <v>21</v>
      </c>
      <c r="B27" s="43" t="s">
        <v>582</v>
      </c>
      <c r="C27" s="43"/>
      <c r="D27" s="64" t="s">
        <v>40</v>
      </c>
      <c r="E27" s="43" t="s">
        <v>592</v>
      </c>
      <c r="F27" s="177">
        <v>39812</v>
      </c>
      <c r="G27" s="83" t="s">
        <v>23</v>
      </c>
      <c r="H27" s="83" t="s">
        <v>41</v>
      </c>
      <c r="I27" s="83">
        <v>1399</v>
      </c>
      <c r="J27" s="83" t="s">
        <v>584</v>
      </c>
      <c r="K27" s="238">
        <v>1</v>
      </c>
      <c r="L27" s="218"/>
      <c r="M27" s="692" t="s">
        <v>33</v>
      </c>
      <c r="N27" s="228"/>
      <c r="O27" s="65"/>
      <c r="P27" s="805"/>
    </row>
    <row r="28" spans="1:28" ht="108">
      <c r="A28" s="677">
        <v>22</v>
      </c>
      <c r="B28" s="43" t="s">
        <v>582</v>
      </c>
      <c r="C28" s="43"/>
      <c r="D28" s="64" t="s">
        <v>40</v>
      </c>
      <c r="E28" s="43" t="s">
        <v>86</v>
      </c>
      <c r="F28" s="177">
        <v>750000</v>
      </c>
      <c r="G28" s="83" t="s">
        <v>23</v>
      </c>
      <c r="H28" s="83" t="s">
        <v>41</v>
      </c>
      <c r="I28" s="83">
        <v>1399</v>
      </c>
      <c r="J28" s="83" t="s">
        <v>584</v>
      </c>
      <c r="K28" s="238">
        <v>1</v>
      </c>
      <c r="L28" s="218" t="s">
        <v>1828</v>
      </c>
      <c r="M28" s="692" t="s">
        <v>33</v>
      </c>
      <c r="N28" s="452" t="s">
        <v>325</v>
      </c>
      <c r="O28" s="452" t="s">
        <v>988</v>
      </c>
      <c r="P28" s="260"/>
    </row>
    <row r="29" spans="1:28" ht="72">
      <c r="A29" s="677">
        <v>23</v>
      </c>
      <c r="B29" s="43" t="s">
        <v>582</v>
      </c>
      <c r="C29" s="43"/>
      <c r="D29" s="64" t="s">
        <v>40</v>
      </c>
      <c r="E29" s="43" t="s">
        <v>210</v>
      </c>
      <c r="F29" s="177">
        <v>133920</v>
      </c>
      <c r="G29" s="83" t="s">
        <v>23</v>
      </c>
      <c r="H29" s="83" t="s">
        <v>41</v>
      </c>
      <c r="I29" s="83">
        <v>1399</v>
      </c>
      <c r="J29" s="83" t="s">
        <v>584</v>
      </c>
      <c r="K29" s="238">
        <v>1</v>
      </c>
      <c r="L29" s="218"/>
      <c r="M29" s="692" t="s">
        <v>33</v>
      </c>
      <c r="N29" s="228"/>
      <c r="O29" s="65"/>
      <c r="P29" s="352"/>
    </row>
    <row r="30" spans="1:28" ht="72">
      <c r="A30" s="677">
        <v>24</v>
      </c>
      <c r="B30" s="43" t="s">
        <v>582</v>
      </c>
      <c r="C30" s="43"/>
      <c r="D30" s="64" t="s">
        <v>40</v>
      </c>
      <c r="E30" s="43" t="s">
        <v>591</v>
      </c>
      <c r="F30" s="177">
        <v>145800</v>
      </c>
      <c r="G30" s="83" t="s">
        <v>23</v>
      </c>
      <c r="H30" s="83" t="s">
        <v>41</v>
      </c>
      <c r="I30" s="83">
        <v>1399</v>
      </c>
      <c r="J30" s="83" t="s">
        <v>584</v>
      </c>
      <c r="K30" s="238">
        <v>1</v>
      </c>
      <c r="L30" s="218"/>
      <c r="M30" s="692" t="s">
        <v>33</v>
      </c>
      <c r="N30" s="228"/>
      <c r="O30" s="65"/>
      <c r="P30" s="352"/>
    </row>
    <row r="31" spans="1:28" ht="108">
      <c r="A31" s="677">
        <v>25</v>
      </c>
      <c r="B31" s="43" t="s">
        <v>582</v>
      </c>
      <c r="C31" s="43"/>
      <c r="D31" s="64" t="s">
        <v>40</v>
      </c>
      <c r="E31" s="43" t="s">
        <v>211</v>
      </c>
      <c r="F31" s="177">
        <v>44640</v>
      </c>
      <c r="G31" s="83" t="s">
        <v>23</v>
      </c>
      <c r="H31" s="83" t="s">
        <v>41</v>
      </c>
      <c r="I31" s="83">
        <v>1399</v>
      </c>
      <c r="J31" s="351" t="s">
        <v>584</v>
      </c>
      <c r="K31" s="238">
        <v>1</v>
      </c>
      <c r="L31" s="218" t="s">
        <v>1828</v>
      </c>
      <c r="M31" s="692" t="s">
        <v>33</v>
      </c>
      <c r="N31" s="452" t="s">
        <v>325</v>
      </c>
      <c r="O31" s="452" t="s">
        <v>988</v>
      </c>
      <c r="P31" s="352"/>
      <c r="Q31" s="806"/>
      <c r="R31" s="806"/>
      <c r="S31" s="806"/>
      <c r="T31" s="806"/>
      <c r="U31" s="806"/>
      <c r="V31" s="806"/>
      <c r="W31" s="806"/>
      <c r="X31" s="806"/>
      <c r="Y31" s="806"/>
      <c r="Z31" s="806"/>
      <c r="AA31" s="806"/>
      <c r="AB31" s="806"/>
    </row>
    <row r="32" spans="1:28" ht="108">
      <c r="A32" s="677">
        <v>26</v>
      </c>
      <c r="B32" s="43" t="s">
        <v>582</v>
      </c>
      <c r="C32" s="43"/>
      <c r="D32" s="64" t="s">
        <v>40</v>
      </c>
      <c r="E32" s="43" t="s">
        <v>590</v>
      </c>
      <c r="F32" s="177">
        <v>524710</v>
      </c>
      <c r="G32" s="83" t="s">
        <v>23</v>
      </c>
      <c r="H32" s="83" t="s">
        <v>41</v>
      </c>
      <c r="I32" s="83">
        <v>1399</v>
      </c>
      <c r="J32" s="351" t="s">
        <v>584</v>
      </c>
      <c r="K32" s="238">
        <v>1</v>
      </c>
      <c r="L32" s="218" t="s">
        <v>1828</v>
      </c>
      <c r="M32" s="692" t="s">
        <v>33</v>
      </c>
      <c r="N32" s="452" t="s">
        <v>325</v>
      </c>
      <c r="O32" s="452" t="s">
        <v>988</v>
      </c>
      <c r="P32" s="352"/>
    </row>
    <row r="33" spans="1:16" ht="72">
      <c r="A33" s="677">
        <v>27</v>
      </c>
      <c r="B33" s="43" t="s">
        <v>582</v>
      </c>
      <c r="C33" s="43"/>
      <c r="D33" s="64" t="s">
        <v>40</v>
      </c>
      <c r="E33" s="43" t="s">
        <v>589</v>
      </c>
      <c r="F33" s="177">
        <v>75900</v>
      </c>
      <c r="G33" s="83" t="s">
        <v>23</v>
      </c>
      <c r="H33" s="83" t="s">
        <v>41</v>
      </c>
      <c r="I33" s="83">
        <v>1399</v>
      </c>
      <c r="J33" s="83" t="s">
        <v>584</v>
      </c>
      <c r="K33" s="238">
        <v>1</v>
      </c>
      <c r="L33" s="218"/>
      <c r="M33" s="692" t="s">
        <v>33</v>
      </c>
      <c r="N33" s="228"/>
      <c r="O33" s="65"/>
      <c r="P33" s="260"/>
    </row>
    <row r="34" spans="1:16" ht="49.9" customHeight="1">
      <c r="A34" s="677">
        <v>28</v>
      </c>
      <c r="B34" s="43" t="s">
        <v>582</v>
      </c>
      <c r="C34" s="43"/>
      <c r="D34" s="64" t="s">
        <v>40</v>
      </c>
      <c r="E34" s="43" t="s">
        <v>90</v>
      </c>
      <c r="F34" s="177">
        <v>42514</v>
      </c>
      <c r="G34" s="83" t="s">
        <v>23</v>
      </c>
      <c r="H34" s="83" t="s">
        <v>41</v>
      </c>
      <c r="I34" s="83">
        <v>1399</v>
      </c>
      <c r="J34" s="83" t="s">
        <v>584</v>
      </c>
      <c r="K34" s="238">
        <v>1</v>
      </c>
      <c r="L34" s="218"/>
      <c r="M34" s="692" t="s">
        <v>33</v>
      </c>
      <c r="N34" s="228"/>
      <c r="O34" s="65"/>
      <c r="P34" s="805"/>
    </row>
    <row r="35" spans="1:16" ht="49.9" customHeight="1">
      <c r="A35" s="677">
        <v>29</v>
      </c>
      <c r="B35" s="43" t="s">
        <v>582</v>
      </c>
      <c r="C35" s="43"/>
      <c r="D35" s="64" t="s">
        <v>40</v>
      </c>
      <c r="E35" s="64" t="s">
        <v>152</v>
      </c>
      <c r="F35" s="177">
        <v>52050</v>
      </c>
      <c r="G35" s="83" t="s">
        <v>23</v>
      </c>
      <c r="H35" s="83" t="s">
        <v>41</v>
      </c>
      <c r="I35" s="83">
        <v>1399</v>
      </c>
      <c r="J35" s="83" t="s">
        <v>584</v>
      </c>
      <c r="K35" s="238">
        <v>1</v>
      </c>
      <c r="L35" s="218"/>
      <c r="M35" s="692" t="s">
        <v>33</v>
      </c>
      <c r="N35" s="228"/>
      <c r="O35" s="65"/>
      <c r="P35" s="805"/>
    </row>
    <row r="36" spans="1:16" ht="48.6" customHeight="1">
      <c r="A36" s="677">
        <v>30</v>
      </c>
      <c r="B36" s="43" t="s">
        <v>582</v>
      </c>
      <c r="C36" s="43"/>
      <c r="D36" s="64" t="s">
        <v>40</v>
      </c>
      <c r="E36" s="64" t="s">
        <v>153</v>
      </c>
      <c r="F36" s="177">
        <v>72900</v>
      </c>
      <c r="G36" s="83" t="s">
        <v>23</v>
      </c>
      <c r="H36" s="83" t="s">
        <v>41</v>
      </c>
      <c r="I36" s="83">
        <v>1399</v>
      </c>
      <c r="J36" s="83" t="s">
        <v>584</v>
      </c>
      <c r="K36" s="238">
        <v>1</v>
      </c>
      <c r="L36" s="218"/>
      <c r="M36" s="692" t="s">
        <v>33</v>
      </c>
      <c r="N36" s="228"/>
      <c r="O36" s="65"/>
      <c r="P36" s="805"/>
    </row>
    <row r="37" spans="1:16" ht="65.25" customHeight="1">
      <c r="A37" s="677">
        <v>31</v>
      </c>
      <c r="B37" s="43" t="s">
        <v>582</v>
      </c>
      <c r="C37" s="43"/>
      <c r="D37" s="64" t="s">
        <v>40</v>
      </c>
      <c r="E37" s="64" t="s">
        <v>154</v>
      </c>
      <c r="F37" s="177">
        <v>45550</v>
      </c>
      <c r="G37" s="83" t="s">
        <v>23</v>
      </c>
      <c r="H37" s="83" t="s">
        <v>41</v>
      </c>
      <c r="I37" s="83">
        <v>1399</v>
      </c>
      <c r="J37" s="83" t="s">
        <v>584</v>
      </c>
      <c r="K37" s="238">
        <v>1</v>
      </c>
      <c r="L37" s="218"/>
      <c r="M37" s="692" t="s">
        <v>33</v>
      </c>
      <c r="N37" s="228"/>
      <c r="O37" s="65"/>
      <c r="P37" s="805"/>
    </row>
    <row r="38" spans="1:16" ht="72">
      <c r="A38" s="677">
        <v>32</v>
      </c>
      <c r="B38" s="43" t="s">
        <v>582</v>
      </c>
      <c r="C38" s="43"/>
      <c r="D38" s="64" t="s">
        <v>40</v>
      </c>
      <c r="E38" s="43" t="s">
        <v>212</v>
      </c>
      <c r="F38" s="177">
        <v>63000</v>
      </c>
      <c r="G38" s="83" t="s">
        <v>23</v>
      </c>
      <c r="H38" s="83" t="s">
        <v>41</v>
      </c>
      <c r="I38" s="83">
        <v>1399</v>
      </c>
      <c r="J38" s="83" t="s">
        <v>584</v>
      </c>
      <c r="K38" s="238">
        <v>1</v>
      </c>
      <c r="L38" s="218"/>
      <c r="M38" s="692" t="s">
        <v>33</v>
      </c>
      <c r="N38" s="228"/>
      <c r="O38" s="65"/>
      <c r="P38" s="805"/>
    </row>
    <row r="39" spans="1:16" ht="108">
      <c r="A39" s="677">
        <v>33</v>
      </c>
      <c r="B39" s="43" t="s">
        <v>582</v>
      </c>
      <c r="C39" s="43"/>
      <c r="D39" s="64" t="s">
        <v>40</v>
      </c>
      <c r="E39" s="43" t="s">
        <v>51</v>
      </c>
      <c r="F39" s="177">
        <v>52080</v>
      </c>
      <c r="G39" s="83" t="s">
        <v>23</v>
      </c>
      <c r="H39" s="83" t="s">
        <v>41</v>
      </c>
      <c r="I39" s="83">
        <v>1399</v>
      </c>
      <c r="J39" s="83" t="s">
        <v>584</v>
      </c>
      <c r="K39" s="238">
        <v>1</v>
      </c>
      <c r="L39" s="218" t="s">
        <v>1828</v>
      </c>
      <c r="M39" s="692" t="s">
        <v>33</v>
      </c>
      <c r="N39" s="452" t="s">
        <v>325</v>
      </c>
      <c r="O39" s="452" t="s">
        <v>988</v>
      </c>
      <c r="P39" s="260"/>
    </row>
    <row r="40" spans="1:16" ht="72">
      <c r="A40" s="677">
        <v>34</v>
      </c>
      <c r="B40" s="43" t="s">
        <v>582</v>
      </c>
      <c r="C40" s="43"/>
      <c r="D40" s="64" t="s">
        <v>40</v>
      </c>
      <c r="E40" s="43" t="s">
        <v>588</v>
      </c>
      <c r="F40" s="177">
        <v>462000</v>
      </c>
      <c r="G40" s="83" t="s">
        <v>23</v>
      </c>
      <c r="H40" s="83" t="s">
        <v>41</v>
      </c>
      <c r="I40" s="83">
        <v>1399</v>
      </c>
      <c r="J40" s="83" t="s">
        <v>584</v>
      </c>
      <c r="K40" s="238">
        <v>1</v>
      </c>
      <c r="L40" s="218"/>
      <c r="M40" s="692" t="s">
        <v>33</v>
      </c>
      <c r="N40" s="228"/>
      <c r="O40" s="65"/>
      <c r="P40" s="64"/>
    </row>
    <row r="41" spans="1:16" ht="72">
      <c r="A41" s="677">
        <v>35</v>
      </c>
      <c r="B41" s="43" t="s">
        <v>582</v>
      </c>
      <c r="C41" s="43"/>
      <c r="D41" s="64" t="s">
        <v>40</v>
      </c>
      <c r="E41" s="173" t="s">
        <v>587</v>
      </c>
      <c r="F41" s="177">
        <v>420000</v>
      </c>
      <c r="G41" s="83" t="s">
        <v>23</v>
      </c>
      <c r="H41" s="83" t="s">
        <v>41</v>
      </c>
      <c r="I41" s="83">
        <v>1399</v>
      </c>
      <c r="J41" s="83" t="s">
        <v>584</v>
      </c>
      <c r="K41" s="238">
        <v>1</v>
      </c>
      <c r="L41" s="218"/>
      <c r="M41" s="692" t="s">
        <v>33</v>
      </c>
      <c r="N41" s="228"/>
      <c r="O41" s="65"/>
      <c r="P41" s="64"/>
    </row>
    <row r="42" spans="1:16" ht="72">
      <c r="A42" s="677">
        <v>36</v>
      </c>
      <c r="B42" s="43" t="s">
        <v>582</v>
      </c>
      <c r="C42" s="43" t="s">
        <v>586</v>
      </c>
      <c r="D42" s="152" t="s">
        <v>40</v>
      </c>
      <c r="E42" s="164" t="s">
        <v>106</v>
      </c>
      <c r="F42" s="184">
        <f>76500000/3</f>
        <v>25500000</v>
      </c>
      <c r="G42" s="83" t="s">
        <v>23</v>
      </c>
      <c r="H42" s="83" t="s">
        <v>41</v>
      </c>
      <c r="I42" s="83">
        <v>1399</v>
      </c>
      <c r="J42" s="21" t="s">
        <v>25</v>
      </c>
      <c r="K42" s="238">
        <v>1</v>
      </c>
      <c r="L42" s="229"/>
      <c r="M42" s="692" t="s">
        <v>33</v>
      </c>
      <c r="N42" s="228"/>
      <c r="O42" s="65"/>
      <c r="P42" s="64"/>
    </row>
    <row r="43" spans="1:16" ht="108">
      <c r="A43" s="677">
        <v>37</v>
      </c>
      <c r="B43" s="43" t="s">
        <v>582</v>
      </c>
      <c r="C43" s="43"/>
      <c r="D43" s="64" t="s">
        <v>40</v>
      </c>
      <c r="E43" s="43" t="s">
        <v>1844</v>
      </c>
      <c r="F43" s="177">
        <v>819000</v>
      </c>
      <c r="G43" s="83" t="s">
        <v>23</v>
      </c>
      <c r="H43" s="83" t="s">
        <v>41</v>
      </c>
      <c r="I43" s="83">
        <v>1399</v>
      </c>
      <c r="J43" s="83" t="s">
        <v>584</v>
      </c>
      <c r="K43" s="238">
        <v>1</v>
      </c>
      <c r="L43" s="218" t="s">
        <v>1828</v>
      </c>
      <c r="M43" s="692" t="s">
        <v>33</v>
      </c>
      <c r="N43" s="452" t="s">
        <v>325</v>
      </c>
      <c r="O43" s="452" t="s">
        <v>988</v>
      </c>
      <c r="P43" s="64"/>
    </row>
    <row r="44" spans="1:16" ht="36">
      <c r="A44" s="677">
        <v>38</v>
      </c>
      <c r="B44" s="6" t="s">
        <v>75</v>
      </c>
      <c r="C44" s="64"/>
      <c r="D44" s="152" t="s">
        <v>76</v>
      </c>
      <c r="E44" s="152" t="s">
        <v>585</v>
      </c>
      <c r="F44" s="185">
        <v>79213992</v>
      </c>
      <c r="G44" s="82" t="s">
        <v>23</v>
      </c>
      <c r="H44" s="65" t="s">
        <v>77</v>
      </c>
      <c r="I44" s="82">
        <v>1399</v>
      </c>
      <c r="J44" s="83" t="s">
        <v>584</v>
      </c>
      <c r="K44" s="238">
        <v>1</v>
      </c>
      <c r="L44" s="64"/>
      <c r="M44" s="692" t="s">
        <v>33</v>
      </c>
      <c r="N44" s="65"/>
      <c r="O44" s="65"/>
      <c r="P44" s="64"/>
    </row>
    <row r="45" spans="1:16" s="461" customFormat="1" ht="55.9" customHeight="1">
      <c r="A45" s="677">
        <v>39</v>
      </c>
      <c r="B45" s="43" t="s">
        <v>582</v>
      </c>
      <c r="C45" s="43" t="s">
        <v>1360</v>
      </c>
      <c r="D45" s="466" t="s">
        <v>168</v>
      </c>
      <c r="E45" s="466" t="s">
        <v>213</v>
      </c>
      <c r="F45" s="47">
        <v>5202900</v>
      </c>
      <c r="G45" s="354" t="s">
        <v>23</v>
      </c>
      <c r="H45" s="354" t="s">
        <v>77</v>
      </c>
      <c r="I45" s="354">
        <v>1399</v>
      </c>
      <c r="J45" s="354" t="s">
        <v>1361</v>
      </c>
      <c r="K45" s="238">
        <v>1</v>
      </c>
      <c r="L45" s="82"/>
      <c r="M45" s="692" t="s">
        <v>33</v>
      </c>
      <c r="N45" s="468"/>
      <c r="O45" s="22"/>
      <c r="P45" s="460" t="s">
        <v>17</v>
      </c>
    </row>
    <row r="46" spans="1:16" s="461" customFormat="1" ht="51.75" customHeight="1">
      <c r="A46" s="677">
        <v>40</v>
      </c>
      <c r="B46" s="43" t="s">
        <v>582</v>
      </c>
      <c r="C46" s="43" t="s">
        <v>1360</v>
      </c>
      <c r="D46" s="466" t="s">
        <v>168</v>
      </c>
      <c r="E46" s="466" t="s">
        <v>583</v>
      </c>
      <c r="F46" s="177">
        <v>56000</v>
      </c>
      <c r="G46" s="354" t="s">
        <v>23</v>
      </c>
      <c r="H46" s="354" t="s">
        <v>77</v>
      </c>
      <c r="I46" s="354">
        <v>1399</v>
      </c>
      <c r="J46" s="354" t="s">
        <v>1361</v>
      </c>
      <c r="K46" s="238">
        <v>1</v>
      </c>
      <c r="L46" s="82"/>
      <c r="M46" s="692" t="s">
        <v>33</v>
      </c>
      <c r="N46" s="468"/>
      <c r="O46" s="22"/>
      <c r="P46" s="460"/>
    </row>
    <row r="47" spans="1:16" s="461" customFormat="1" ht="51" customHeight="1">
      <c r="A47" s="677">
        <v>41</v>
      </c>
      <c r="B47" s="43" t="s">
        <v>582</v>
      </c>
      <c r="C47" s="526"/>
      <c r="D47" s="466" t="s">
        <v>111</v>
      </c>
      <c r="E47" s="466" t="s">
        <v>214</v>
      </c>
      <c r="F47" s="177">
        <v>160000</v>
      </c>
      <c r="G47" s="354" t="s">
        <v>23</v>
      </c>
      <c r="H47" s="354" t="s">
        <v>77</v>
      </c>
      <c r="I47" s="354">
        <v>1399</v>
      </c>
      <c r="J47" s="354" t="s">
        <v>1361</v>
      </c>
      <c r="K47" s="235">
        <v>1</v>
      </c>
      <c r="L47" s="82"/>
      <c r="M47" s="692" t="s">
        <v>33</v>
      </c>
      <c r="N47" s="468"/>
      <c r="O47" s="22"/>
      <c r="P47" s="460"/>
    </row>
    <row r="48" spans="1:16" s="461" customFormat="1" ht="93" customHeight="1">
      <c r="A48" s="677">
        <v>42</v>
      </c>
      <c r="B48" s="43" t="s">
        <v>582</v>
      </c>
      <c r="C48" s="466" t="s">
        <v>1362</v>
      </c>
      <c r="D48" s="456" t="s">
        <v>156</v>
      </c>
      <c r="E48" s="456" t="s">
        <v>1843</v>
      </c>
      <c r="F48" s="47">
        <v>16200000</v>
      </c>
      <c r="G48" s="656" t="s">
        <v>23</v>
      </c>
      <c r="H48" s="656" t="s">
        <v>77</v>
      </c>
      <c r="I48" s="656">
        <v>1399</v>
      </c>
      <c r="J48" s="656" t="s">
        <v>1361</v>
      </c>
      <c r="K48" s="24">
        <v>0.05</v>
      </c>
      <c r="L48" s="659"/>
      <c r="M48" s="40" t="s">
        <v>39</v>
      </c>
      <c r="N48" s="22"/>
      <c r="O48" s="22"/>
      <c r="P48" s="679" t="s">
        <v>1363</v>
      </c>
    </row>
    <row r="49" spans="1:16" s="552" customFormat="1" ht="45.6" customHeight="1">
      <c r="A49" s="677">
        <v>43</v>
      </c>
      <c r="B49" s="43" t="s">
        <v>582</v>
      </c>
      <c r="C49" s="236"/>
      <c r="D49" s="554" t="s">
        <v>130</v>
      </c>
      <c r="E49" s="33" t="s">
        <v>142</v>
      </c>
      <c r="F49" s="47">
        <v>1282840</v>
      </c>
      <c r="G49" s="354" t="s">
        <v>23</v>
      </c>
      <c r="H49" s="354" t="s">
        <v>77</v>
      </c>
      <c r="I49" s="354">
        <v>1399</v>
      </c>
      <c r="J49" s="354" t="s">
        <v>1361</v>
      </c>
      <c r="K49" s="265"/>
      <c r="L49" s="33" t="s">
        <v>72</v>
      </c>
      <c r="M49" s="223"/>
      <c r="N49" s="623" t="s">
        <v>581</v>
      </c>
      <c r="O49" s="236" t="s">
        <v>1845</v>
      </c>
      <c r="P49" s="553"/>
    </row>
    <row r="50" spans="1:16" s="552" customFormat="1" ht="61.5" customHeight="1">
      <c r="A50" s="677">
        <v>44</v>
      </c>
      <c r="B50" s="43" t="s">
        <v>582</v>
      </c>
      <c r="C50" s="236"/>
      <c r="D50" s="554" t="s">
        <v>130</v>
      </c>
      <c r="E50" s="33" t="s">
        <v>143</v>
      </c>
      <c r="F50" s="47">
        <v>329254</v>
      </c>
      <c r="G50" s="354" t="s">
        <v>23</v>
      </c>
      <c r="H50" s="354" t="s">
        <v>77</v>
      </c>
      <c r="I50" s="354">
        <v>1399</v>
      </c>
      <c r="J50" s="354" t="s">
        <v>1361</v>
      </c>
      <c r="K50" s="265"/>
      <c r="L50" s="33" t="s">
        <v>72</v>
      </c>
      <c r="M50" s="223"/>
      <c r="N50" s="623" t="s">
        <v>581</v>
      </c>
      <c r="O50" s="236" t="s">
        <v>1845</v>
      </c>
      <c r="P50" s="553"/>
    </row>
  </sheetData>
  <mergeCells count="19">
    <mergeCell ref="A1:P4"/>
    <mergeCell ref="A5:A6"/>
    <mergeCell ref="B5:B6"/>
    <mergeCell ref="C5:C6"/>
    <mergeCell ref="D5:D6"/>
    <mergeCell ref="E5:E6"/>
    <mergeCell ref="F5:H5"/>
    <mergeCell ref="I5:I6"/>
    <mergeCell ref="J5:J6"/>
    <mergeCell ref="K5:K6"/>
    <mergeCell ref="L5:M5"/>
    <mergeCell ref="N5:N6"/>
    <mergeCell ref="O5:O6"/>
    <mergeCell ref="P5:P6"/>
    <mergeCell ref="Q31:AB31"/>
    <mergeCell ref="P34:P36"/>
    <mergeCell ref="P37:P38"/>
    <mergeCell ref="P23:P24"/>
    <mergeCell ref="P26:P27"/>
  </mergeCells>
  <printOptions horizontalCentered="1"/>
  <pageMargins left="0" right="0" top="0.5" bottom="0.5" header="0.3" footer="0.3"/>
  <pageSetup paperSize="9" scale="60"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sheetPr>
    <tabColor rgb="FF92D050"/>
  </sheetPr>
  <dimension ref="A1:P88"/>
  <sheetViews>
    <sheetView rightToLeft="1" view="pageBreakPreview" topLeftCell="A82" zoomScale="82" zoomScaleNormal="85" zoomScaleSheetLayoutView="82" workbookViewId="0">
      <selection activeCell="K89" sqref="K89"/>
    </sheetView>
  </sheetViews>
  <sheetFormatPr defaultColWidth="9.140625" defaultRowHeight="15"/>
  <cols>
    <col min="1" max="1" width="5.85546875" style="1" customWidth="1"/>
    <col min="2" max="2" width="17" style="10" customWidth="1"/>
    <col min="3" max="3" width="8.42578125" style="10" customWidth="1"/>
    <col min="4" max="4" width="11.42578125" style="10" customWidth="1"/>
    <col min="5" max="5" width="37" style="10" customWidth="1"/>
    <col min="6" max="6" width="16.85546875" style="255" customWidth="1"/>
    <col min="7" max="7" width="7.85546875" style="2" customWidth="1"/>
    <col min="8" max="8" width="9.85546875" style="2" customWidth="1"/>
    <col min="9" max="9" width="8.7109375" style="1" customWidth="1"/>
    <col min="10" max="10" width="13.7109375" style="1" customWidth="1"/>
    <col min="11" max="11" width="11.85546875" style="1" customWidth="1"/>
    <col min="12" max="12" width="7.28515625" style="11" customWidth="1"/>
    <col min="13" max="13" width="13.7109375" style="11" customWidth="1"/>
    <col min="14" max="14" width="23.85546875" style="11" customWidth="1"/>
    <col min="15" max="15" width="16.28515625" style="11" customWidth="1"/>
    <col min="16" max="16" width="19" style="145" customWidth="1"/>
    <col min="17" max="16384" width="9.140625" style="145"/>
  </cols>
  <sheetData>
    <row r="1" spans="1:16">
      <c r="A1" s="788" t="s">
        <v>1808</v>
      </c>
      <c r="B1" s="789"/>
      <c r="C1" s="789"/>
      <c r="D1" s="789"/>
      <c r="E1" s="789"/>
      <c r="F1" s="789"/>
      <c r="G1" s="789"/>
      <c r="H1" s="789"/>
      <c r="I1" s="789"/>
      <c r="J1" s="789"/>
      <c r="K1" s="789"/>
      <c r="L1" s="789"/>
      <c r="M1" s="789"/>
      <c r="N1" s="789"/>
      <c r="O1" s="789"/>
      <c r="P1" s="789"/>
    </row>
    <row r="2" spans="1:16">
      <c r="A2" s="789"/>
      <c r="B2" s="789"/>
      <c r="C2" s="789"/>
      <c r="D2" s="789"/>
      <c r="E2" s="789"/>
      <c r="F2" s="789"/>
      <c r="G2" s="789"/>
      <c r="H2" s="789"/>
      <c r="I2" s="789"/>
      <c r="J2" s="789"/>
      <c r="K2" s="789"/>
      <c r="L2" s="789"/>
      <c r="M2" s="789"/>
      <c r="N2" s="789"/>
      <c r="O2" s="789"/>
      <c r="P2" s="789"/>
    </row>
    <row r="3" spans="1:16">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23.45"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791" t="s">
        <v>8</v>
      </c>
    </row>
    <row r="6" spans="1:16" ht="59.25" customHeight="1">
      <c r="A6" s="791"/>
      <c r="B6" s="791"/>
      <c r="C6" s="791"/>
      <c r="D6" s="791"/>
      <c r="E6" s="791"/>
      <c r="F6" s="151" t="s">
        <v>10</v>
      </c>
      <c r="G6" s="146" t="s">
        <v>11</v>
      </c>
      <c r="H6" s="146" t="s">
        <v>12</v>
      </c>
      <c r="I6" s="791"/>
      <c r="J6" s="791"/>
      <c r="K6" s="791"/>
      <c r="L6" s="146" t="s">
        <v>3</v>
      </c>
      <c r="M6" s="146" t="s">
        <v>4</v>
      </c>
      <c r="N6" s="791"/>
      <c r="O6" s="791"/>
      <c r="P6" s="791"/>
    </row>
    <row r="7" spans="1:16" s="609" customFormat="1" ht="45.6" customHeight="1">
      <c r="A7" s="577">
        <v>1</v>
      </c>
      <c r="B7" s="576" t="s">
        <v>20</v>
      </c>
      <c r="C7" s="579" t="s">
        <v>579</v>
      </c>
      <c r="D7" s="576" t="s">
        <v>320</v>
      </c>
      <c r="E7" s="576" t="s">
        <v>1688</v>
      </c>
      <c r="F7" s="177">
        <v>423000</v>
      </c>
      <c r="G7" s="354" t="s">
        <v>23</v>
      </c>
      <c r="H7" s="354" t="s">
        <v>77</v>
      </c>
      <c r="I7" s="354">
        <v>1399</v>
      </c>
      <c r="J7" s="571" t="s">
        <v>25</v>
      </c>
      <c r="K7" s="163">
        <v>1</v>
      </c>
      <c r="L7" s="180"/>
      <c r="M7" s="573" t="s">
        <v>33</v>
      </c>
      <c r="N7" s="582"/>
      <c r="O7" s="582"/>
      <c r="P7" s="179"/>
    </row>
    <row r="8" spans="1:16" s="609" customFormat="1" ht="53.45" customHeight="1">
      <c r="A8" s="577">
        <v>2</v>
      </c>
      <c r="B8" s="576" t="s">
        <v>20</v>
      </c>
      <c r="C8" s="225" t="s">
        <v>1689</v>
      </c>
      <c r="D8" s="576" t="s">
        <v>320</v>
      </c>
      <c r="E8" s="576" t="s">
        <v>1690</v>
      </c>
      <c r="F8" s="177">
        <v>33683366</v>
      </c>
      <c r="G8" s="354" t="s">
        <v>23</v>
      </c>
      <c r="H8" s="354" t="s">
        <v>77</v>
      </c>
      <c r="I8" s="354">
        <v>1399</v>
      </c>
      <c r="J8" s="571" t="s">
        <v>25</v>
      </c>
      <c r="K8" s="163">
        <v>1</v>
      </c>
      <c r="L8" s="180"/>
      <c r="M8" s="693" t="s">
        <v>33</v>
      </c>
      <c r="N8" s="582"/>
      <c r="O8" s="582"/>
      <c r="P8" s="179"/>
    </row>
    <row r="9" spans="1:16" s="609" customFormat="1" ht="69.75" customHeight="1">
      <c r="A9" s="586">
        <v>3</v>
      </c>
      <c r="B9" s="576" t="s">
        <v>20</v>
      </c>
      <c r="C9" s="579" t="s">
        <v>1691</v>
      </c>
      <c r="D9" s="576" t="s">
        <v>320</v>
      </c>
      <c r="E9" s="576" t="s">
        <v>1692</v>
      </c>
      <c r="F9" s="177">
        <v>123000</v>
      </c>
      <c r="G9" s="354" t="s">
        <v>23</v>
      </c>
      <c r="H9" s="354" t="s">
        <v>77</v>
      </c>
      <c r="I9" s="354">
        <v>1399</v>
      </c>
      <c r="J9" s="571" t="s">
        <v>25</v>
      </c>
      <c r="K9" s="163">
        <v>1</v>
      </c>
      <c r="L9" s="180"/>
      <c r="M9" s="693" t="s">
        <v>33</v>
      </c>
      <c r="N9" s="582"/>
      <c r="O9" s="582"/>
      <c r="P9" s="179"/>
    </row>
    <row r="10" spans="1:16" s="609" customFormat="1" ht="78.599999999999994" customHeight="1">
      <c r="A10" s="586">
        <v>4</v>
      </c>
      <c r="B10" s="576" t="s">
        <v>20</v>
      </c>
      <c r="C10" s="579" t="s">
        <v>1691</v>
      </c>
      <c r="D10" s="576" t="s">
        <v>320</v>
      </c>
      <c r="E10" s="576" t="s">
        <v>1693</v>
      </c>
      <c r="F10" s="177">
        <v>412000</v>
      </c>
      <c r="G10" s="354" t="s">
        <v>23</v>
      </c>
      <c r="H10" s="354" t="s">
        <v>77</v>
      </c>
      <c r="I10" s="354">
        <v>1399</v>
      </c>
      <c r="J10" s="571" t="s">
        <v>25</v>
      </c>
      <c r="K10" s="163">
        <v>1</v>
      </c>
      <c r="L10" s="180"/>
      <c r="M10" s="693" t="s">
        <v>33</v>
      </c>
      <c r="N10" s="582"/>
      <c r="O10" s="582"/>
      <c r="P10" s="179"/>
    </row>
    <row r="11" spans="1:16" s="609" customFormat="1" ht="69.75" customHeight="1">
      <c r="A11" s="675">
        <v>5</v>
      </c>
      <c r="B11" s="576" t="s">
        <v>20</v>
      </c>
      <c r="C11" s="579" t="s">
        <v>1691</v>
      </c>
      <c r="D11" s="576" t="s">
        <v>320</v>
      </c>
      <c r="E11" s="576" t="s">
        <v>1530</v>
      </c>
      <c r="F11" s="177">
        <v>2236000</v>
      </c>
      <c r="G11" s="354" t="s">
        <v>23</v>
      </c>
      <c r="H11" s="354" t="s">
        <v>77</v>
      </c>
      <c r="I11" s="354">
        <v>1399</v>
      </c>
      <c r="J11" s="571" t="s">
        <v>25</v>
      </c>
      <c r="K11" s="163">
        <v>1</v>
      </c>
      <c r="L11" s="180"/>
      <c r="M11" s="693" t="s">
        <v>33</v>
      </c>
      <c r="N11" s="582"/>
      <c r="O11" s="582"/>
      <c r="P11" s="179"/>
    </row>
    <row r="12" spans="1:16" s="609" customFormat="1" ht="69.75" customHeight="1">
      <c r="A12" s="675">
        <v>6</v>
      </c>
      <c r="B12" s="576" t="s">
        <v>20</v>
      </c>
      <c r="C12" s="579" t="s">
        <v>1691</v>
      </c>
      <c r="D12" s="576" t="s">
        <v>320</v>
      </c>
      <c r="E12" s="576" t="s">
        <v>1694</v>
      </c>
      <c r="F12" s="177">
        <v>1000000</v>
      </c>
      <c r="G12" s="354" t="s">
        <v>23</v>
      </c>
      <c r="H12" s="354" t="s">
        <v>77</v>
      </c>
      <c r="I12" s="354">
        <v>1399</v>
      </c>
      <c r="J12" s="571" t="s">
        <v>25</v>
      </c>
      <c r="K12" s="163">
        <v>1</v>
      </c>
      <c r="L12" s="180"/>
      <c r="M12" s="693" t="s">
        <v>33</v>
      </c>
      <c r="N12" s="582"/>
      <c r="O12" s="582"/>
      <c r="P12" s="179"/>
    </row>
    <row r="13" spans="1:16" s="609" customFormat="1" ht="69.75" customHeight="1">
      <c r="A13" s="675">
        <v>7</v>
      </c>
      <c r="B13" s="576" t="s">
        <v>20</v>
      </c>
      <c r="C13" s="579" t="s">
        <v>1691</v>
      </c>
      <c r="D13" s="576" t="s">
        <v>320</v>
      </c>
      <c r="E13" s="576" t="s">
        <v>1695</v>
      </c>
      <c r="F13" s="177">
        <v>1538000</v>
      </c>
      <c r="G13" s="354" t="s">
        <v>23</v>
      </c>
      <c r="H13" s="354" t="s">
        <v>77</v>
      </c>
      <c r="I13" s="354">
        <v>1399</v>
      </c>
      <c r="J13" s="571" t="s">
        <v>25</v>
      </c>
      <c r="K13" s="163">
        <v>1</v>
      </c>
      <c r="L13" s="180"/>
      <c r="M13" s="693" t="s">
        <v>33</v>
      </c>
      <c r="N13" s="582"/>
      <c r="O13" s="582"/>
      <c r="P13" s="179"/>
    </row>
    <row r="14" spans="1:16" s="609" customFormat="1" ht="90">
      <c r="A14" s="675">
        <v>8</v>
      </c>
      <c r="B14" s="576" t="s">
        <v>20</v>
      </c>
      <c r="C14" s="579" t="s">
        <v>1691</v>
      </c>
      <c r="D14" s="576" t="s">
        <v>320</v>
      </c>
      <c r="E14" s="576" t="s">
        <v>1696</v>
      </c>
      <c r="F14" s="177">
        <v>181160</v>
      </c>
      <c r="G14" s="354" t="s">
        <v>23</v>
      </c>
      <c r="H14" s="354" t="s">
        <v>77</v>
      </c>
      <c r="I14" s="354">
        <v>1399</v>
      </c>
      <c r="J14" s="571" t="s">
        <v>25</v>
      </c>
      <c r="K14" s="163">
        <v>1</v>
      </c>
      <c r="L14" s="180"/>
      <c r="M14" s="693" t="s">
        <v>33</v>
      </c>
      <c r="N14" s="582"/>
      <c r="O14" s="582"/>
      <c r="P14" s="179"/>
    </row>
    <row r="15" spans="1:16" s="609" customFormat="1" ht="74.25" customHeight="1">
      <c r="A15" s="675">
        <v>9</v>
      </c>
      <c r="B15" s="576" t="s">
        <v>20</v>
      </c>
      <c r="C15" s="579" t="s">
        <v>1691</v>
      </c>
      <c r="D15" s="576" t="s">
        <v>320</v>
      </c>
      <c r="E15" s="576" t="s">
        <v>1697</v>
      </c>
      <c r="F15" s="177">
        <v>72000</v>
      </c>
      <c r="G15" s="354" t="s">
        <v>23</v>
      </c>
      <c r="H15" s="354" t="s">
        <v>77</v>
      </c>
      <c r="I15" s="354">
        <v>1399</v>
      </c>
      <c r="J15" s="571" t="s">
        <v>25</v>
      </c>
      <c r="K15" s="163">
        <v>1</v>
      </c>
      <c r="L15" s="180"/>
      <c r="M15" s="693" t="s">
        <v>33</v>
      </c>
      <c r="N15" s="582"/>
      <c r="O15" s="582"/>
      <c r="P15" s="179"/>
    </row>
    <row r="16" spans="1:16" s="574" customFormat="1" ht="54">
      <c r="A16" s="675">
        <v>10</v>
      </c>
      <c r="B16" s="40" t="s">
        <v>20</v>
      </c>
      <c r="C16" s="22" t="s">
        <v>1698</v>
      </c>
      <c r="D16" s="40" t="s">
        <v>1610</v>
      </c>
      <c r="E16" s="40" t="s">
        <v>1699</v>
      </c>
      <c r="F16" s="47">
        <v>1331250</v>
      </c>
      <c r="G16" s="578" t="s">
        <v>23</v>
      </c>
      <c r="H16" s="578" t="s">
        <v>77</v>
      </c>
      <c r="I16" s="578">
        <v>1399</v>
      </c>
      <c r="J16" s="86" t="s">
        <v>25</v>
      </c>
      <c r="K16" s="60" t="s">
        <v>17</v>
      </c>
      <c r="L16" s="32" t="s">
        <v>580</v>
      </c>
      <c r="M16" s="592"/>
      <c r="N16" s="33" t="s">
        <v>333</v>
      </c>
      <c r="O16" s="33" t="s">
        <v>560</v>
      </c>
      <c r="P16" s="480"/>
    </row>
    <row r="17" spans="1:16" s="574" customFormat="1" ht="36">
      <c r="A17" s="675">
        <v>11</v>
      </c>
      <c r="B17" s="40" t="s">
        <v>20</v>
      </c>
      <c r="C17" s="22" t="s">
        <v>1700</v>
      </c>
      <c r="D17" s="40" t="s">
        <v>1610</v>
      </c>
      <c r="E17" s="40" t="s">
        <v>1701</v>
      </c>
      <c r="F17" s="47" t="s">
        <v>1702</v>
      </c>
      <c r="G17" s="578" t="s">
        <v>23</v>
      </c>
      <c r="H17" s="578" t="s">
        <v>77</v>
      </c>
      <c r="I17" s="578">
        <v>1399</v>
      </c>
      <c r="J17" s="86" t="s">
        <v>25</v>
      </c>
      <c r="K17" s="60">
        <v>1</v>
      </c>
      <c r="L17" s="32"/>
      <c r="M17" s="693" t="s">
        <v>33</v>
      </c>
      <c r="N17" s="33"/>
      <c r="O17" s="33"/>
      <c r="P17" s="480"/>
    </row>
    <row r="18" spans="1:16" s="574" customFormat="1" ht="72">
      <c r="A18" s="675">
        <v>12</v>
      </c>
      <c r="B18" s="40" t="s">
        <v>20</v>
      </c>
      <c r="C18" s="22" t="s">
        <v>1703</v>
      </c>
      <c r="D18" s="22" t="s">
        <v>578</v>
      </c>
      <c r="E18" s="40" t="s">
        <v>1704</v>
      </c>
      <c r="F18" s="47">
        <v>59565791</v>
      </c>
      <c r="G18" s="578" t="s">
        <v>23</v>
      </c>
      <c r="H18" s="583" t="s">
        <v>393</v>
      </c>
      <c r="I18" s="578">
        <v>1399</v>
      </c>
      <c r="J18" s="86" t="s">
        <v>25</v>
      </c>
      <c r="K18" s="60">
        <v>1</v>
      </c>
      <c r="L18" s="33"/>
      <c r="M18" s="693" t="s">
        <v>33</v>
      </c>
      <c r="N18" s="234"/>
      <c r="O18" s="234"/>
      <c r="P18" s="610"/>
    </row>
    <row r="19" spans="1:16" s="574" customFormat="1" ht="72">
      <c r="A19" s="675">
        <v>13</v>
      </c>
      <c r="B19" s="40" t="s">
        <v>20</v>
      </c>
      <c r="C19" s="22" t="s">
        <v>1705</v>
      </c>
      <c r="D19" s="22" t="s">
        <v>578</v>
      </c>
      <c r="E19" s="40" t="s">
        <v>1706</v>
      </c>
      <c r="F19" s="47">
        <v>54175000</v>
      </c>
      <c r="G19" s="578" t="s">
        <v>23</v>
      </c>
      <c r="H19" s="583" t="s">
        <v>393</v>
      </c>
      <c r="I19" s="578">
        <v>1399</v>
      </c>
      <c r="J19" s="86" t="s">
        <v>25</v>
      </c>
      <c r="K19" s="60">
        <v>0.02</v>
      </c>
      <c r="L19" s="33"/>
      <c r="M19" s="635" t="s">
        <v>42</v>
      </c>
      <c r="N19" s="234"/>
      <c r="O19" s="234"/>
      <c r="P19" s="610"/>
    </row>
    <row r="20" spans="1:16" s="574" customFormat="1" ht="72">
      <c r="A20" s="675">
        <v>14</v>
      </c>
      <c r="B20" s="40" t="s">
        <v>20</v>
      </c>
      <c r="C20" s="22" t="s">
        <v>1707</v>
      </c>
      <c r="D20" s="22" t="s">
        <v>578</v>
      </c>
      <c r="E20" s="40" t="s">
        <v>1708</v>
      </c>
      <c r="F20" s="47">
        <v>93464674.959999993</v>
      </c>
      <c r="G20" s="578" t="s">
        <v>23</v>
      </c>
      <c r="H20" s="583" t="s">
        <v>393</v>
      </c>
      <c r="I20" s="578">
        <v>1399</v>
      </c>
      <c r="J20" s="86" t="s">
        <v>25</v>
      </c>
      <c r="K20" s="60">
        <v>0.05</v>
      </c>
      <c r="L20" s="33"/>
      <c r="M20" s="635" t="s">
        <v>42</v>
      </c>
      <c r="N20" s="234"/>
      <c r="O20" s="234"/>
      <c r="P20" s="610"/>
    </row>
    <row r="21" spans="1:16" s="574" customFormat="1" ht="72">
      <c r="A21" s="675">
        <v>15</v>
      </c>
      <c r="B21" s="40" t="s">
        <v>20</v>
      </c>
      <c r="C21" s="22" t="s">
        <v>1709</v>
      </c>
      <c r="D21" s="22" t="s">
        <v>578</v>
      </c>
      <c r="E21" s="40" t="s">
        <v>1710</v>
      </c>
      <c r="F21" s="47">
        <v>8328944</v>
      </c>
      <c r="G21" s="578" t="s">
        <v>23</v>
      </c>
      <c r="H21" s="583" t="s">
        <v>393</v>
      </c>
      <c r="I21" s="578">
        <v>1399</v>
      </c>
      <c r="J21" s="86" t="s">
        <v>25</v>
      </c>
      <c r="K21" s="60">
        <v>1</v>
      </c>
      <c r="L21" s="33"/>
      <c r="M21" s="693" t="s">
        <v>33</v>
      </c>
      <c r="N21" s="234"/>
      <c r="O21" s="234"/>
      <c r="P21" s="610"/>
    </row>
    <row r="22" spans="1:16" s="574" customFormat="1" ht="36">
      <c r="A22" s="675">
        <v>16</v>
      </c>
      <c r="B22" s="40" t="s">
        <v>20</v>
      </c>
      <c r="C22" s="22" t="s">
        <v>1711</v>
      </c>
      <c r="D22" s="22" t="s">
        <v>578</v>
      </c>
      <c r="E22" s="40" t="s">
        <v>1712</v>
      </c>
      <c r="F22" s="47">
        <v>119201588</v>
      </c>
      <c r="G22" s="578" t="s">
        <v>23</v>
      </c>
      <c r="H22" s="583" t="s">
        <v>393</v>
      </c>
      <c r="I22" s="578">
        <v>1399</v>
      </c>
      <c r="J22" s="86" t="s">
        <v>25</v>
      </c>
      <c r="K22" s="60">
        <v>0</v>
      </c>
      <c r="L22" s="33"/>
      <c r="M22" s="33" t="s">
        <v>81</v>
      </c>
      <c r="N22" s="234"/>
      <c r="O22" s="234"/>
      <c r="P22" s="610"/>
    </row>
    <row r="23" spans="1:16" s="574" customFormat="1" ht="36">
      <c r="A23" s="675">
        <v>17</v>
      </c>
      <c r="B23" s="40" t="s">
        <v>20</v>
      </c>
      <c r="C23" s="22" t="s">
        <v>1713</v>
      </c>
      <c r="D23" s="22" t="s">
        <v>578</v>
      </c>
      <c r="E23" s="40" t="s">
        <v>1714</v>
      </c>
      <c r="F23" s="47">
        <v>6786787</v>
      </c>
      <c r="G23" s="578" t="s">
        <v>23</v>
      </c>
      <c r="H23" s="583" t="s">
        <v>393</v>
      </c>
      <c r="I23" s="578">
        <v>1399</v>
      </c>
      <c r="J23" s="86" t="s">
        <v>25</v>
      </c>
      <c r="K23" s="60">
        <v>1</v>
      </c>
      <c r="L23" s="33"/>
      <c r="M23" s="693" t="s">
        <v>33</v>
      </c>
      <c r="N23" s="234"/>
      <c r="O23" s="234"/>
      <c r="P23" s="610"/>
    </row>
    <row r="24" spans="1:16" s="574" customFormat="1" ht="36">
      <c r="A24" s="675">
        <v>18</v>
      </c>
      <c r="B24" s="40" t="s">
        <v>20</v>
      </c>
      <c r="C24" s="22" t="s">
        <v>1713</v>
      </c>
      <c r="D24" s="22" t="s">
        <v>578</v>
      </c>
      <c r="E24" s="40" t="s">
        <v>1715</v>
      </c>
      <c r="F24" s="47">
        <v>6881380</v>
      </c>
      <c r="G24" s="578" t="s">
        <v>23</v>
      </c>
      <c r="H24" s="583" t="s">
        <v>393</v>
      </c>
      <c r="I24" s="578">
        <v>1399</v>
      </c>
      <c r="J24" s="86" t="s">
        <v>25</v>
      </c>
      <c r="K24" s="60">
        <v>1</v>
      </c>
      <c r="L24" s="33"/>
      <c r="M24" s="693" t="s">
        <v>33</v>
      </c>
      <c r="N24" s="234"/>
      <c r="O24" s="234"/>
      <c r="P24" s="610"/>
    </row>
    <row r="25" spans="1:16" s="574" customFormat="1" ht="36">
      <c r="A25" s="675">
        <v>19</v>
      </c>
      <c r="B25" s="40" t="s">
        <v>20</v>
      </c>
      <c r="C25" s="22" t="s">
        <v>1716</v>
      </c>
      <c r="D25" s="22" t="s">
        <v>578</v>
      </c>
      <c r="E25" s="40" t="s">
        <v>1717</v>
      </c>
      <c r="F25" s="47">
        <v>6902190</v>
      </c>
      <c r="G25" s="578" t="s">
        <v>23</v>
      </c>
      <c r="H25" s="583" t="s">
        <v>393</v>
      </c>
      <c r="I25" s="578">
        <v>1399</v>
      </c>
      <c r="J25" s="86" t="s">
        <v>25</v>
      </c>
      <c r="K25" s="60">
        <v>1</v>
      </c>
      <c r="L25" s="33"/>
      <c r="M25" s="693" t="s">
        <v>33</v>
      </c>
      <c r="N25" s="234"/>
      <c r="O25" s="234"/>
      <c r="P25" s="610"/>
    </row>
    <row r="26" spans="1:16" s="574" customFormat="1" ht="36">
      <c r="A26" s="675">
        <v>20</v>
      </c>
      <c r="B26" s="40" t="s">
        <v>20</v>
      </c>
      <c r="C26" s="22" t="s">
        <v>1718</v>
      </c>
      <c r="D26" s="22" t="s">
        <v>578</v>
      </c>
      <c r="E26" s="40" t="s">
        <v>1719</v>
      </c>
      <c r="F26" s="47">
        <v>6798721</v>
      </c>
      <c r="G26" s="578" t="s">
        <v>23</v>
      </c>
      <c r="H26" s="583" t="s">
        <v>393</v>
      </c>
      <c r="I26" s="578">
        <v>1399</v>
      </c>
      <c r="J26" s="86" t="s">
        <v>25</v>
      </c>
      <c r="K26" s="60">
        <v>1</v>
      </c>
      <c r="L26" s="33"/>
      <c r="M26" s="693" t="s">
        <v>33</v>
      </c>
      <c r="N26" s="234"/>
      <c r="O26" s="234"/>
      <c r="P26" s="610"/>
    </row>
    <row r="27" spans="1:16" s="574" customFormat="1" ht="36">
      <c r="A27" s="675">
        <v>21</v>
      </c>
      <c r="B27" s="40" t="s">
        <v>20</v>
      </c>
      <c r="C27" s="22" t="s">
        <v>1716</v>
      </c>
      <c r="D27" s="22" t="s">
        <v>578</v>
      </c>
      <c r="E27" s="40" t="s">
        <v>1720</v>
      </c>
      <c r="F27" s="47">
        <v>6891376</v>
      </c>
      <c r="G27" s="578" t="s">
        <v>23</v>
      </c>
      <c r="H27" s="583" t="s">
        <v>393</v>
      </c>
      <c r="I27" s="578">
        <v>1399</v>
      </c>
      <c r="J27" s="86" t="s">
        <v>25</v>
      </c>
      <c r="K27" s="60">
        <v>1</v>
      </c>
      <c r="L27" s="33"/>
      <c r="M27" s="693" t="s">
        <v>33</v>
      </c>
      <c r="N27" s="234"/>
      <c r="O27" s="234"/>
      <c r="P27" s="610"/>
    </row>
    <row r="28" spans="1:16" s="574" customFormat="1" ht="36">
      <c r="A28" s="675">
        <v>22</v>
      </c>
      <c r="B28" s="40" t="s">
        <v>20</v>
      </c>
      <c r="C28" s="22" t="s">
        <v>1721</v>
      </c>
      <c r="D28" s="22" t="s">
        <v>578</v>
      </c>
      <c r="E28" s="40" t="s">
        <v>1722</v>
      </c>
      <c r="F28" s="47">
        <v>6968226</v>
      </c>
      <c r="G28" s="578" t="s">
        <v>23</v>
      </c>
      <c r="H28" s="583" t="s">
        <v>393</v>
      </c>
      <c r="I28" s="578">
        <v>1399</v>
      </c>
      <c r="J28" s="86" t="s">
        <v>25</v>
      </c>
      <c r="K28" s="60">
        <v>1</v>
      </c>
      <c r="L28" s="33"/>
      <c r="M28" s="693" t="s">
        <v>33</v>
      </c>
      <c r="N28" s="234"/>
      <c r="O28" s="234"/>
      <c r="P28" s="610"/>
    </row>
    <row r="29" spans="1:16" s="574" customFormat="1" ht="36">
      <c r="A29" s="675">
        <v>23</v>
      </c>
      <c r="B29" s="40" t="s">
        <v>20</v>
      </c>
      <c r="C29" s="22" t="s">
        <v>1721</v>
      </c>
      <c r="D29" s="22" t="s">
        <v>578</v>
      </c>
      <c r="E29" s="40" t="s">
        <v>1723</v>
      </c>
      <c r="F29" s="47">
        <v>6950210</v>
      </c>
      <c r="G29" s="578" t="s">
        <v>23</v>
      </c>
      <c r="H29" s="583" t="s">
        <v>393</v>
      </c>
      <c r="I29" s="578">
        <v>1399</v>
      </c>
      <c r="J29" s="86" t="s">
        <v>25</v>
      </c>
      <c r="K29" s="60">
        <v>1</v>
      </c>
      <c r="L29" s="33"/>
      <c r="M29" s="693" t="s">
        <v>33</v>
      </c>
      <c r="N29" s="234"/>
      <c r="O29" s="234"/>
      <c r="P29" s="610"/>
    </row>
    <row r="30" spans="1:16" s="574" customFormat="1" ht="36">
      <c r="A30" s="675">
        <v>24</v>
      </c>
      <c r="B30" s="40" t="s">
        <v>20</v>
      </c>
      <c r="C30" s="22" t="s">
        <v>1724</v>
      </c>
      <c r="D30" s="22" t="s">
        <v>578</v>
      </c>
      <c r="E30" s="40" t="s">
        <v>1725</v>
      </c>
      <c r="F30" s="47">
        <v>6900054</v>
      </c>
      <c r="G30" s="578" t="s">
        <v>23</v>
      </c>
      <c r="H30" s="583" t="s">
        <v>393</v>
      </c>
      <c r="I30" s="578">
        <v>1399</v>
      </c>
      <c r="J30" s="86" t="s">
        <v>25</v>
      </c>
      <c r="K30" s="60">
        <v>1</v>
      </c>
      <c r="L30" s="33"/>
      <c r="M30" s="693" t="s">
        <v>33</v>
      </c>
      <c r="N30" s="234"/>
      <c r="O30" s="234"/>
      <c r="P30" s="610"/>
    </row>
    <row r="31" spans="1:16" s="574" customFormat="1" ht="36">
      <c r="A31" s="675">
        <v>25</v>
      </c>
      <c r="B31" s="40" t="s">
        <v>20</v>
      </c>
      <c r="C31" s="22" t="s">
        <v>1724</v>
      </c>
      <c r="D31" s="22" t="s">
        <v>578</v>
      </c>
      <c r="E31" s="40" t="s">
        <v>1726</v>
      </c>
      <c r="F31" s="47">
        <v>6770858</v>
      </c>
      <c r="G31" s="578" t="s">
        <v>23</v>
      </c>
      <c r="H31" s="583" t="s">
        <v>393</v>
      </c>
      <c r="I31" s="578">
        <v>1399</v>
      </c>
      <c r="J31" s="86" t="s">
        <v>25</v>
      </c>
      <c r="K31" s="60">
        <v>1</v>
      </c>
      <c r="L31" s="33"/>
      <c r="M31" s="693" t="s">
        <v>33</v>
      </c>
      <c r="N31" s="234"/>
      <c r="O31" s="234"/>
      <c r="P31" s="610"/>
    </row>
    <row r="32" spans="1:16" s="574" customFormat="1" ht="54">
      <c r="A32" s="675">
        <v>26</v>
      </c>
      <c r="B32" s="40" t="s">
        <v>20</v>
      </c>
      <c r="C32" s="22" t="s">
        <v>1713</v>
      </c>
      <c r="D32" s="22" t="s">
        <v>1727</v>
      </c>
      <c r="E32" s="40" t="s">
        <v>1728</v>
      </c>
      <c r="F32" s="47">
        <v>3159000</v>
      </c>
      <c r="G32" s="578" t="s">
        <v>23</v>
      </c>
      <c r="H32" s="583" t="s">
        <v>393</v>
      </c>
      <c r="I32" s="578">
        <v>1399</v>
      </c>
      <c r="J32" s="86" t="s">
        <v>25</v>
      </c>
      <c r="K32" s="60">
        <v>0</v>
      </c>
      <c r="L32" s="33"/>
      <c r="M32" s="32" t="s">
        <v>81</v>
      </c>
      <c r="N32" s="234"/>
      <c r="O32" s="668" t="s">
        <v>1973</v>
      </c>
      <c r="P32" s="610"/>
    </row>
    <row r="33" spans="1:16" s="574" customFormat="1" ht="54">
      <c r="A33" s="675">
        <v>27</v>
      </c>
      <c r="B33" s="40" t="s">
        <v>20</v>
      </c>
      <c r="C33" s="22" t="s">
        <v>1713</v>
      </c>
      <c r="D33" s="22" t="s">
        <v>1727</v>
      </c>
      <c r="E33" s="40" t="s">
        <v>1729</v>
      </c>
      <c r="F33" s="47">
        <v>3159000</v>
      </c>
      <c r="G33" s="578" t="s">
        <v>23</v>
      </c>
      <c r="H33" s="583" t="s">
        <v>393</v>
      </c>
      <c r="I33" s="578">
        <v>1399</v>
      </c>
      <c r="J33" s="86" t="s">
        <v>25</v>
      </c>
      <c r="K33" s="60">
        <v>0</v>
      </c>
      <c r="L33" s="33"/>
      <c r="M33" s="32" t="s">
        <v>81</v>
      </c>
      <c r="N33" s="234"/>
      <c r="O33" s="668" t="s">
        <v>1973</v>
      </c>
      <c r="P33" s="610"/>
    </row>
    <row r="34" spans="1:16" s="574" customFormat="1" ht="54">
      <c r="A34" s="675">
        <v>28</v>
      </c>
      <c r="B34" s="40" t="s">
        <v>20</v>
      </c>
      <c r="C34" s="22" t="s">
        <v>1713</v>
      </c>
      <c r="D34" s="22" t="s">
        <v>1727</v>
      </c>
      <c r="E34" s="40" t="s">
        <v>1730</v>
      </c>
      <c r="F34" s="47">
        <v>3159000</v>
      </c>
      <c r="G34" s="578" t="s">
        <v>23</v>
      </c>
      <c r="H34" s="583" t="s">
        <v>393</v>
      </c>
      <c r="I34" s="578">
        <v>1399</v>
      </c>
      <c r="J34" s="86" t="s">
        <v>25</v>
      </c>
      <c r="K34" s="60">
        <v>0</v>
      </c>
      <c r="L34" s="33"/>
      <c r="M34" s="32" t="s">
        <v>81</v>
      </c>
      <c r="N34" s="234"/>
      <c r="O34" s="668" t="s">
        <v>1973</v>
      </c>
      <c r="P34" s="610"/>
    </row>
    <row r="35" spans="1:16" s="574" customFormat="1" ht="54">
      <c r="A35" s="675">
        <v>29</v>
      </c>
      <c r="B35" s="40" t="s">
        <v>20</v>
      </c>
      <c r="C35" s="22" t="s">
        <v>1713</v>
      </c>
      <c r="D35" s="22" t="s">
        <v>1727</v>
      </c>
      <c r="E35" s="40" t="s">
        <v>1731</v>
      </c>
      <c r="F35" s="47">
        <v>3159000</v>
      </c>
      <c r="G35" s="578" t="s">
        <v>23</v>
      </c>
      <c r="H35" s="583" t="s">
        <v>393</v>
      </c>
      <c r="I35" s="578">
        <v>1399</v>
      </c>
      <c r="J35" s="86" t="s">
        <v>25</v>
      </c>
      <c r="K35" s="60">
        <v>0</v>
      </c>
      <c r="L35" s="33"/>
      <c r="M35" s="32" t="s">
        <v>81</v>
      </c>
      <c r="N35" s="234"/>
      <c r="O35" s="668" t="s">
        <v>1973</v>
      </c>
      <c r="P35" s="610"/>
    </row>
    <row r="36" spans="1:16" s="574" customFormat="1" ht="54">
      <c r="A36" s="675">
        <v>30</v>
      </c>
      <c r="B36" s="40" t="s">
        <v>20</v>
      </c>
      <c r="C36" s="22" t="s">
        <v>1713</v>
      </c>
      <c r="D36" s="22" t="s">
        <v>1727</v>
      </c>
      <c r="E36" s="40" t="s">
        <v>1732</v>
      </c>
      <c r="F36" s="47">
        <v>3159000</v>
      </c>
      <c r="G36" s="578" t="s">
        <v>23</v>
      </c>
      <c r="H36" s="583" t="s">
        <v>393</v>
      </c>
      <c r="I36" s="578">
        <v>1399</v>
      </c>
      <c r="J36" s="86" t="s">
        <v>25</v>
      </c>
      <c r="K36" s="60">
        <v>0</v>
      </c>
      <c r="L36" s="33"/>
      <c r="M36" s="32" t="s">
        <v>81</v>
      </c>
      <c r="N36" s="234"/>
      <c r="O36" s="668" t="s">
        <v>1973</v>
      </c>
      <c r="P36" s="610"/>
    </row>
    <row r="37" spans="1:16" s="574" customFormat="1" ht="54">
      <c r="A37" s="675">
        <v>31</v>
      </c>
      <c r="B37" s="40" t="s">
        <v>20</v>
      </c>
      <c r="C37" s="22" t="s">
        <v>1713</v>
      </c>
      <c r="D37" s="22" t="s">
        <v>1727</v>
      </c>
      <c r="E37" s="40" t="s">
        <v>1733</v>
      </c>
      <c r="F37" s="47">
        <v>3159000</v>
      </c>
      <c r="G37" s="578" t="s">
        <v>23</v>
      </c>
      <c r="H37" s="583" t="s">
        <v>393</v>
      </c>
      <c r="I37" s="578">
        <v>1399</v>
      </c>
      <c r="J37" s="86" t="s">
        <v>25</v>
      </c>
      <c r="K37" s="60">
        <v>0</v>
      </c>
      <c r="L37" s="33"/>
      <c r="M37" s="32" t="s">
        <v>81</v>
      </c>
      <c r="N37" s="234"/>
      <c r="O37" s="668" t="s">
        <v>1973</v>
      </c>
      <c r="P37" s="610"/>
    </row>
    <row r="38" spans="1:16" s="574" customFormat="1" ht="54">
      <c r="A38" s="675">
        <v>32</v>
      </c>
      <c r="B38" s="40" t="s">
        <v>20</v>
      </c>
      <c r="C38" s="22" t="s">
        <v>1713</v>
      </c>
      <c r="D38" s="22" t="s">
        <v>1727</v>
      </c>
      <c r="E38" s="40" t="s">
        <v>1734</v>
      </c>
      <c r="F38" s="47">
        <v>3159000</v>
      </c>
      <c r="G38" s="578" t="s">
        <v>23</v>
      </c>
      <c r="H38" s="583" t="s">
        <v>393</v>
      </c>
      <c r="I38" s="578">
        <v>1399</v>
      </c>
      <c r="J38" s="86" t="s">
        <v>25</v>
      </c>
      <c r="K38" s="60">
        <v>0</v>
      </c>
      <c r="L38" s="33"/>
      <c r="M38" s="32" t="s">
        <v>81</v>
      </c>
      <c r="N38" s="234"/>
      <c r="O38" s="668" t="s">
        <v>1973</v>
      </c>
      <c r="P38" s="610"/>
    </row>
    <row r="39" spans="1:16" s="574" customFormat="1" ht="54">
      <c r="A39" s="675">
        <v>33</v>
      </c>
      <c r="B39" s="40" t="s">
        <v>20</v>
      </c>
      <c r="C39" s="22" t="s">
        <v>1713</v>
      </c>
      <c r="D39" s="22" t="s">
        <v>1727</v>
      </c>
      <c r="E39" s="40" t="s">
        <v>1735</v>
      </c>
      <c r="F39" s="47">
        <v>3159000</v>
      </c>
      <c r="G39" s="578" t="s">
        <v>23</v>
      </c>
      <c r="H39" s="583" t="s">
        <v>393</v>
      </c>
      <c r="I39" s="578">
        <v>1399</v>
      </c>
      <c r="J39" s="86" t="s">
        <v>25</v>
      </c>
      <c r="K39" s="60">
        <v>0</v>
      </c>
      <c r="L39" s="33"/>
      <c r="M39" s="32" t="s">
        <v>81</v>
      </c>
      <c r="N39" s="234"/>
      <c r="O39" s="668" t="s">
        <v>1973</v>
      </c>
      <c r="P39" s="610"/>
    </row>
    <row r="40" spans="1:16" s="574" customFormat="1" ht="54">
      <c r="A40" s="675">
        <v>34</v>
      </c>
      <c r="B40" s="40" t="s">
        <v>20</v>
      </c>
      <c r="C40" s="22" t="s">
        <v>1713</v>
      </c>
      <c r="D40" s="22" t="s">
        <v>1727</v>
      </c>
      <c r="E40" s="40" t="s">
        <v>1736</v>
      </c>
      <c r="F40" s="47">
        <v>3159000</v>
      </c>
      <c r="G40" s="578" t="s">
        <v>23</v>
      </c>
      <c r="H40" s="583" t="s">
        <v>393</v>
      </c>
      <c r="I40" s="578">
        <v>1399</v>
      </c>
      <c r="J40" s="86" t="s">
        <v>25</v>
      </c>
      <c r="K40" s="60">
        <v>0</v>
      </c>
      <c r="L40" s="33"/>
      <c r="M40" s="32" t="s">
        <v>81</v>
      </c>
      <c r="N40" s="234"/>
      <c r="O40" s="668" t="s">
        <v>1973</v>
      </c>
      <c r="P40" s="610"/>
    </row>
    <row r="41" spans="1:16" s="574" customFormat="1" ht="54">
      <c r="A41" s="675">
        <v>35</v>
      </c>
      <c r="B41" s="40" t="s">
        <v>20</v>
      </c>
      <c r="C41" s="22" t="s">
        <v>1713</v>
      </c>
      <c r="D41" s="22" t="s">
        <v>1727</v>
      </c>
      <c r="E41" s="40" t="s">
        <v>1737</v>
      </c>
      <c r="F41" s="47">
        <v>3159000</v>
      </c>
      <c r="G41" s="578" t="s">
        <v>23</v>
      </c>
      <c r="H41" s="583" t="s">
        <v>393</v>
      </c>
      <c r="I41" s="578">
        <v>1399</v>
      </c>
      <c r="J41" s="86" t="s">
        <v>25</v>
      </c>
      <c r="K41" s="60">
        <v>0</v>
      </c>
      <c r="L41" s="33"/>
      <c r="M41" s="32" t="s">
        <v>1738</v>
      </c>
      <c r="N41" s="234"/>
      <c r="O41" s="668" t="s">
        <v>1973</v>
      </c>
      <c r="P41" s="610"/>
    </row>
    <row r="42" spans="1:16" s="258" customFormat="1" ht="54" customHeight="1">
      <c r="A42" s="675">
        <v>36</v>
      </c>
      <c r="B42" s="152" t="s">
        <v>20</v>
      </c>
      <c r="C42" s="65"/>
      <c r="D42" s="152" t="s">
        <v>21</v>
      </c>
      <c r="E42" s="152" t="s">
        <v>22</v>
      </c>
      <c r="F42" s="177">
        <v>640000</v>
      </c>
      <c r="G42" s="83" t="s">
        <v>23</v>
      </c>
      <c r="H42" s="221" t="s">
        <v>24</v>
      </c>
      <c r="I42" s="83">
        <v>1399</v>
      </c>
      <c r="J42" s="21" t="s">
        <v>25</v>
      </c>
      <c r="K42" s="163">
        <v>1</v>
      </c>
      <c r="L42" s="64"/>
      <c r="M42" s="64" t="s">
        <v>370</v>
      </c>
      <c r="N42" s="64"/>
      <c r="P42" s="57" t="s">
        <v>17</v>
      </c>
    </row>
    <row r="43" spans="1:16" s="258" customFormat="1" ht="62.45" customHeight="1">
      <c r="A43" s="675">
        <v>37</v>
      </c>
      <c r="B43" s="152" t="s">
        <v>20</v>
      </c>
      <c r="C43" s="65"/>
      <c r="D43" s="152" t="s">
        <v>21</v>
      </c>
      <c r="E43" s="152" t="s">
        <v>79</v>
      </c>
      <c r="F43" s="177">
        <v>37000</v>
      </c>
      <c r="G43" s="83" t="s">
        <v>23</v>
      </c>
      <c r="H43" s="221" t="s">
        <v>24</v>
      </c>
      <c r="I43" s="83">
        <v>1399</v>
      </c>
      <c r="J43" s="21" t="s">
        <v>25</v>
      </c>
      <c r="K43" s="163">
        <v>1</v>
      </c>
      <c r="L43" s="64"/>
      <c r="M43" s="690" t="s">
        <v>370</v>
      </c>
      <c r="N43" s="64"/>
      <c r="O43" s="57"/>
      <c r="P43" s="152"/>
    </row>
    <row r="44" spans="1:16" s="258" customFormat="1" ht="36">
      <c r="A44" s="675">
        <v>38</v>
      </c>
      <c r="B44" s="152" t="s">
        <v>20</v>
      </c>
      <c r="C44" s="65"/>
      <c r="D44" s="152" t="s">
        <v>21</v>
      </c>
      <c r="E44" s="152" t="s">
        <v>26</v>
      </c>
      <c r="F44" s="177">
        <v>202500</v>
      </c>
      <c r="G44" s="83" t="s">
        <v>23</v>
      </c>
      <c r="H44" s="221" t="s">
        <v>24</v>
      </c>
      <c r="I44" s="83">
        <v>1399</v>
      </c>
      <c r="J44" s="21" t="s">
        <v>25</v>
      </c>
      <c r="K44" s="163">
        <v>1</v>
      </c>
      <c r="L44" s="244"/>
      <c r="M44" s="690" t="s">
        <v>370</v>
      </c>
      <c r="N44" s="244"/>
      <c r="P44" s="57" t="s">
        <v>17</v>
      </c>
    </row>
    <row r="45" spans="1:16" s="258" customFormat="1" ht="36">
      <c r="A45" s="675">
        <v>39</v>
      </c>
      <c r="B45" s="152" t="s">
        <v>20</v>
      </c>
      <c r="C45" s="65"/>
      <c r="D45" s="152" t="s">
        <v>21</v>
      </c>
      <c r="E45" s="152" t="s">
        <v>27</v>
      </c>
      <c r="F45" s="177">
        <v>30000</v>
      </c>
      <c r="G45" s="83" t="s">
        <v>23</v>
      </c>
      <c r="H45" s="221" t="s">
        <v>24</v>
      </c>
      <c r="I45" s="83">
        <v>1399</v>
      </c>
      <c r="J45" s="21" t="s">
        <v>25</v>
      </c>
      <c r="K45" s="163">
        <v>1</v>
      </c>
      <c r="L45" s="244"/>
      <c r="M45" s="690" t="s">
        <v>370</v>
      </c>
      <c r="N45" s="244"/>
      <c r="O45" s="57"/>
      <c r="P45" s="152"/>
    </row>
    <row r="46" spans="1:16" s="258" customFormat="1" ht="69.75" customHeight="1">
      <c r="A46" s="675">
        <v>40</v>
      </c>
      <c r="B46" s="152" t="s">
        <v>20</v>
      </c>
      <c r="C46" s="65"/>
      <c r="D46" s="152" t="s">
        <v>28</v>
      </c>
      <c r="E46" s="164" t="s">
        <v>577</v>
      </c>
      <c r="F46" s="177">
        <v>17934000</v>
      </c>
      <c r="G46" s="83" t="s">
        <v>23</v>
      </c>
      <c r="H46" s="221" t="s">
        <v>24</v>
      </c>
      <c r="I46" s="83">
        <v>1399</v>
      </c>
      <c r="J46" s="21" t="s">
        <v>25</v>
      </c>
      <c r="K46" s="163">
        <v>1</v>
      </c>
      <c r="L46" s="64"/>
      <c r="M46" s="690" t="s">
        <v>370</v>
      </c>
      <c r="N46" s="64"/>
      <c r="O46" s="57"/>
      <c r="P46" s="152" t="s">
        <v>17</v>
      </c>
    </row>
    <row r="47" spans="1:16" s="258" customFormat="1" ht="90">
      <c r="A47" s="675">
        <v>41</v>
      </c>
      <c r="B47" s="152" t="s">
        <v>20</v>
      </c>
      <c r="C47" s="65"/>
      <c r="D47" s="152" t="s">
        <v>28</v>
      </c>
      <c r="E47" s="152" t="s">
        <v>576</v>
      </c>
      <c r="F47" s="177">
        <v>180000</v>
      </c>
      <c r="G47" s="83" t="s">
        <v>23</v>
      </c>
      <c r="H47" s="221" t="s">
        <v>24</v>
      </c>
      <c r="I47" s="83">
        <v>1399</v>
      </c>
      <c r="J47" s="21" t="s">
        <v>25</v>
      </c>
      <c r="K47" s="163">
        <v>1</v>
      </c>
      <c r="L47" s="244"/>
      <c r="M47" s="64" t="s">
        <v>990</v>
      </c>
      <c r="N47" s="244"/>
      <c r="O47" s="57"/>
      <c r="P47" s="836"/>
    </row>
    <row r="48" spans="1:16" s="258" customFormat="1" ht="108">
      <c r="A48" s="675">
        <v>42</v>
      </c>
      <c r="B48" s="152" t="s">
        <v>20</v>
      </c>
      <c r="C48" s="65"/>
      <c r="D48" s="152" t="s">
        <v>28</v>
      </c>
      <c r="E48" s="164" t="s">
        <v>30</v>
      </c>
      <c r="F48" s="177">
        <v>83000</v>
      </c>
      <c r="G48" s="83" t="s">
        <v>23</v>
      </c>
      <c r="H48" s="221" t="s">
        <v>24</v>
      </c>
      <c r="I48" s="83">
        <v>1399</v>
      </c>
      <c r="J48" s="21" t="s">
        <v>25</v>
      </c>
      <c r="K48" s="163">
        <v>1</v>
      </c>
      <c r="L48" s="244"/>
      <c r="M48" s="64" t="s">
        <v>370</v>
      </c>
      <c r="N48" s="244"/>
      <c r="O48" s="57" t="s">
        <v>17</v>
      </c>
      <c r="P48" s="836"/>
    </row>
    <row r="49" spans="1:16" s="256" customFormat="1" ht="54" customHeight="1">
      <c r="A49" s="675">
        <v>43</v>
      </c>
      <c r="B49" s="152" t="s">
        <v>20</v>
      </c>
      <c r="C49" s="65"/>
      <c r="D49" s="152" t="s">
        <v>31</v>
      </c>
      <c r="E49" s="152" t="s">
        <v>80</v>
      </c>
      <c r="F49" s="177">
        <v>640100</v>
      </c>
      <c r="G49" s="83" t="s">
        <v>23</v>
      </c>
      <c r="H49" s="221" t="s">
        <v>24</v>
      </c>
      <c r="I49" s="83">
        <v>1399</v>
      </c>
      <c r="J49" s="21" t="s">
        <v>25</v>
      </c>
      <c r="K49" s="163">
        <v>1</v>
      </c>
      <c r="L49" s="64"/>
      <c r="M49" s="690" t="s">
        <v>370</v>
      </c>
      <c r="N49" s="244"/>
      <c r="O49" s="57"/>
      <c r="P49" s="152"/>
    </row>
    <row r="50" spans="1:16" s="26" customFormat="1" ht="51.6" customHeight="1">
      <c r="A50" s="675">
        <v>44</v>
      </c>
      <c r="B50" s="152" t="s">
        <v>20</v>
      </c>
      <c r="C50" s="65"/>
      <c r="D50" s="152" t="s">
        <v>31</v>
      </c>
      <c r="E50" s="152" t="s">
        <v>34</v>
      </c>
      <c r="F50" s="177">
        <v>569047</v>
      </c>
      <c r="G50" s="83" t="s">
        <v>23</v>
      </c>
      <c r="H50" s="221" t="s">
        <v>24</v>
      </c>
      <c r="I50" s="83">
        <v>1399</v>
      </c>
      <c r="J50" s="21" t="s">
        <v>25</v>
      </c>
      <c r="K50" s="163">
        <v>1</v>
      </c>
      <c r="L50" s="64"/>
      <c r="M50" s="690" t="s">
        <v>370</v>
      </c>
      <c r="N50" s="244"/>
      <c r="O50" s="57"/>
      <c r="P50" s="152"/>
    </row>
    <row r="51" spans="1:16" s="256" customFormat="1" ht="72">
      <c r="A51" s="675">
        <v>45</v>
      </c>
      <c r="B51" s="152" t="s">
        <v>20</v>
      </c>
      <c r="C51" s="65"/>
      <c r="D51" s="152" t="s">
        <v>31</v>
      </c>
      <c r="E51" s="152" t="s">
        <v>32</v>
      </c>
      <c r="F51" s="177">
        <v>418880</v>
      </c>
      <c r="G51" s="83" t="s">
        <v>23</v>
      </c>
      <c r="H51" s="221" t="s">
        <v>24</v>
      </c>
      <c r="I51" s="83">
        <v>1399</v>
      </c>
      <c r="J51" s="21" t="s">
        <v>25</v>
      </c>
      <c r="K51" s="163">
        <v>1</v>
      </c>
      <c r="L51" s="64"/>
      <c r="M51" s="690" t="s">
        <v>370</v>
      </c>
      <c r="N51" s="244"/>
      <c r="O51" s="57"/>
      <c r="P51" s="152"/>
    </row>
    <row r="52" spans="1:16" s="256" customFormat="1" ht="55.15" customHeight="1">
      <c r="A52" s="675">
        <v>46</v>
      </c>
      <c r="B52" s="152" t="s">
        <v>20</v>
      </c>
      <c r="C52" s="65"/>
      <c r="D52" s="152" t="s">
        <v>31</v>
      </c>
      <c r="E52" s="152" t="s">
        <v>575</v>
      </c>
      <c r="F52" s="177">
        <v>2000000</v>
      </c>
      <c r="G52" s="83" t="s">
        <v>23</v>
      </c>
      <c r="H52" s="221" t="s">
        <v>24</v>
      </c>
      <c r="I52" s="83">
        <v>1399</v>
      </c>
      <c r="J52" s="21" t="s">
        <v>25</v>
      </c>
      <c r="K52" s="163">
        <v>1</v>
      </c>
      <c r="L52" s="64"/>
      <c r="M52" s="690" t="s">
        <v>370</v>
      </c>
      <c r="N52" s="244"/>
      <c r="O52" s="57"/>
      <c r="P52" s="152"/>
    </row>
    <row r="53" spans="1:16" s="256" customFormat="1" ht="67.150000000000006" customHeight="1">
      <c r="A53" s="675">
        <v>47</v>
      </c>
      <c r="B53" s="152" t="s">
        <v>20</v>
      </c>
      <c r="C53" s="65"/>
      <c r="D53" s="152" t="s">
        <v>31</v>
      </c>
      <c r="E53" s="152" t="s">
        <v>483</v>
      </c>
      <c r="F53" s="177">
        <v>368000</v>
      </c>
      <c r="G53" s="83" t="s">
        <v>23</v>
      </c>
      <c r="H53" s="221" t="s">
        <v>24</v>
      </c>
      <c r="I53" s="83">
        <v>1399</v>
      </c>
      <c r="J53" s="21" t="s">
        <v>25</v>
      </c>
      <c r="K53" s="163">
        <v>1</v>
      </c>
      <c r="L53" s="64"/>
      <c r="M53" s="690" t="s">
        <v>370</v>
      </c>
      <c r="N53" s="244"/>
      <c r="O53" s="57"/>
      <c r="P53" s="152"/>
    </row>
    <row r="54" spans="1:16" s="256" customFormat="1" ht="50.45" customHeight="1">
      <c r="A54" s="675">
        <v>48</v>
      </c>
      <c r="B54" s="152" t="s">
        <v>20</v>
      </c>
      <c r="C54" s="65"/>
      <c r="D54" s="152" t="s">
        <v>40</v>
      </c>
      <c r="E54" s="152" t="s">
        <v>343</v>
      </c>
      <c r="F54" s="177">
        <f>2*1413600</f>
        <v>2827200</v>
      </c>
      <c r="G54" s="83" t="s">
        <v>23</v>
      </c>
      <c r="H54" s="221" t="s">
        <v>41</v>
      </c>
      <c r="I54" s="83">
        <v>1399</v>
      </c>
      <c r="J54" s="21" t="s">
        <v>25</v>
      </c>
      <c r="K54" s="163">
        <v>1</v>
      </c>
      <c r="L54" s="244"/>
      <c r="M54" s="64" t="s">
        <v>33</v>
      </c>
      <c r="N54" s="244"/>
      <c r="O54" s="57"/>
      <c r="P54" s="152"/>
    </row>
    <row r="55" spans="1:16" s="256" customFormat="1" ht="72">
      <c r="A55" s="675">
        <v>49</v>
      </c>
      <c r="B55" s="152" t="s">
        <v>20</v>
      </c>
      <c r="C55" s="65"/>
      <c r="D55" s="152" t="s">
        <v>40</v>
      </c>
      <c r="E55" s="152" t="s">
        <v>82</v>
      </c>
      <c r="F55" s="177">
        <f>110*58032</f>
        <v>6383520</v>
      </c>
      <c r="G55" s="83" t="s">
        <v>23</v>
      </c>
      <c r="H55" s="221" t="s">
        <v>41</v>
      </c>
      <c r="I55" s="83">
        <v>1399</v>
      </c>
      <c r="J55" s="21" t="s">
        <v>25</v>
      </c>
      <c r="K55" s="163">
        <v>1</v>
      </c>
      <c r="L55" s="244"/>
      <c r="M55" s="690" t="s">
        <v>33</v>
      </c>
      <c r="N55" s="244"/>
      <c r="O55" s="57"/>
      <c r="P55" s="57"/>
    </row>
    <row r="56" spans="1:16" s="256" customFormat="1" ht="91.9" customHeight="1">
      <c r="A56" s="675">
        <v>50</v>
      </c>
      <c r="B56" s="152" t="s">
        <v>20</v>
      </c>
      <c r="C56" s="65"/>
      <c r="D56" s="152" t="s">
        <v>40</v>
      </c>
      <c r="E56" s="152" t="s">
        <v>574</v>
      </c>
      <c r="G56" s="83" t="s">
        <v>17</v>
      </c>
      <c r="H56" s="221" t="s">
        <v>17</v>
      </c>
      <c r="I56" s="83">
        <v>1399</v>
      </c>
      <c r="J56" s="21" t="s">
        <v>25</v>
      </c>
      <c r="K56" s="163">
        <v>1</v>
      </c>
      <c r="L56" s="244"/>
      <c r="M56" s="690" t="s">
        <v>33</v>
      </c>
      <c r="N56" s="244"/>
      <c r="O56" s="57"/>
      <c r="P56" s="435" t="s">
        <v>83</v>
      </c>
    </row>
    <row r="57" spans="1:16" s="256" customFormat="1" ht="72">
      <c r="A57" s="675">
        <v>51</v>
      </c>
      <c r="B57" s="152" t="s">
        <v>20</v>
      </c>
      <c r="C57" s="65"/>
      <c r="D57" s="152" t="s">
        <v>40</v>
      </c>
      <c r="E57" s="152" t="s">
        <v>84</v>
      </c>
      <c r="F57" s="177">
        <f>2* 848904</f>
        <v>1697808</v>
      </c>
      <c r="G57" s="83" t="s">
        <v>23</v>
      </c>
      <c r="H57" s="221" t="s">
        <v>41</v>
      </c>
      <c r="I57" s="83">
        <v>1399</v>
      </c>
      <c r="J57" s="21" t="s">
        <v>25</v>
      </c>
      <c r="K57" s="163">
        <v>1</v>
      </c>
      <c r="L57" s="244"/>
      <c r="M57" s="690" t="s">
        <v>33</v>
      </c>
      <c r="N57" s="244"/>
      <c r="O57" s="57"/>
      <c r="P57" s="152"/>
    </row>
    <row r="58" spans="1:16" s="256" customFormat="1" ht="90">
      <c r="A58" s="675">
        <v>52</v>
      </c>
      <c r="B58" s="152" t="s">
        <v>20</v>
      </c>
      <c r="C58" s="65"/>
      <c r="D58" s="152" t="s">
        <v>40</v>
      </c>
      <c r="E58" s="152" t="s">
        <v>573</v>
      </c>
      <c r="F58" s="177">
        <f>4* 102300</f>
        <v>409200</v>
      </c>
      <c r="G58" s="83" t="s">
        <v>23</v>
      </c>
      <c r="H58" s="221" t="s">
        <v>41</v>
      </c>
      <c r="I58" s="83">
        <v>1399</v>
      </c>
      <c r="J58" s="21" t="s">
        <v>25</v>
      </c>
      <c r="K58" s="163">
        <v>1</v>
      </c>
      <c r="L58" s="244" t="s">
        <v>947</v>
      </c>
      <c r="M58" s="690" t="s">
        <v>33</v>
      </c>
      <c r="N58" s="452" t="s">
        <v>325</v>
      </c>
      <c r="O58" s="22" t="s">
        <v>959</v>
      </c>
      <c r="P58" s="57"/>
    </row>
    <row r="59" spans="1:16" s="256" customFormat="1" ht="90">
      <c r="A59" s="675">
        <v>53</v>
      </c>
      <c r="B59" s="152" t="s">
        <v>20</v>
      </c>
      <c r="C59" s="65"/>
      <c r="D59" s="152" t="s">
        <v>40</v>
      </c>
      <c r="E59" s="152" t="s">
        <v>572</v>
      </c>
      <c r="F59" s="177">
        <f>4* 223200</f>
        <v>892800</v>
      </c>
      <c r="G59" s="83" t="s">
        <v>23</v>
      </c>
      <c r="H59" s="221" t="s">
        <v>41</v>
      </c>
      <c r="I59" s="83">
        <v>1399</v>
      </c>
      <c r="J59" s="21" t="s">
        <v>25</v>
      </c>
      <c r="K59" s="163">
        <v>1</v>
      </c>
      <c r="L59" s="244" t="s">
        <v>947</v>
      </c>
      <c r="M59" s="690" t="s">
        <v>33</v>
      </c>
      <c r="N59" s="452" t="s">
        <v>325</v>
      </c>
      <c r="O59" s="22" t="s">
        <v>959</v>
      </c>
      <c r="P59" s="57"/>
    </row>
    <row r="60" spans="1:16" s="256" customFormat="1" ht="90">
      <c r="A60" s="675">
        <v>54</v>
      </c>
      <c r="B60" s="152" t="s">
        <v>20</v>
      </c>
      <c r="C60" s="65"/>
      <c r="D60" s="152" t="s">
        <v>40</v>
      </c>
      <c r="E60" s="152" t="s">
        <v>85</v>
      </c>
      <c r="F60" s="177">
        <f>3*  304452</f>
        <v>913356</v>
      </c>
      <c r="G60" s="83" t="s">
        <v>23</v>
      </c>
      <c r="H60" s="221" t="s">
        <v>41</v>
      </c>
      <c r="I60" s="83">
        <v>1399</v>
      </c>
      <c r="J60" s="21" t="s">
        <v>25</v>
      </c>
      <c r="K60" s="163">
        <v>1</v>
      </c>
      <c r="L60" s="244" t="s">
        <v>947</v>
      </c>
      <c r="M60" s="690" t="s">
        <v>33</v>
      </c>
      <c r="N60" s="452" t="s">
        <v>325</v>
      </c>
      <c r="O60" s="22" t="s">
        <v>959</v>
      </c>
      <c r="P60" s="836"/>
    </row>
    <row r="61" spans="1:16" s="256" customFormat="1" ht="72">
      <c r="A61" s="675">
        <v>55</v>
      </c>
      <c r="B61" s="152" t="s">
        <v>20</v>
      </c>
      <c r="C61" s="65"/>
      <c r="D61" s="152" t="s">
        <v>40</v>
      </c>
      <c r="E61" s="152" t="s">
        <v>571</v>
      </c>
      <c r="F61" s="177">
        <f>1710*148</f>
        <v>253080</v>
      </c>
      <c r="G61" s="83" t="s">
        <v>23</v>
      </c>
      <c r="H61" s="221" t="s">
        <v>41</v>
      </c>
      <c r="I61" s="83">
        <v>1399</v>
      </c>
      <c r="J61" s="21" t="s">
        <v>25</v>
      </c>
      <c r="K61" s="163">
        <v>1</v>
      </c>
      <c r="L61" s="244"/>
      <c r="M61" s="690" t="s">
        <v>33</v>
      </c>
      <c r="N61" s="244"/>
      <c r="O61" s="57"/>
      <c r="P61" s="836"/>
    </row>
    <row r="62" spans="1:16" s="256" customFormat="1" ht="90">
      <c r="A62" s="675">
        <v>56</v>
      </c>
      <c r="B62" s="152" t="s">
        <v>20</v>
      </c>
      <c r="C62" s="65"/>
      <c r="D62" s="152" t="s">
        <v>40</v>
      </c>
      <c r="E62" s="152" t="s">
        <v>86</v>
      </c>
      <c r="F62" s="177">
        <f>2* 375000</f>
        <v>750000</v>
      </c>
      <c r="G62" s="83" t="s">
        <v>23</v>
      </c>
      <c r="H62" s="221" t="s">
        <v>41</v>
      </c>
      <c r="I62" s="83">
        <v>1399</v>
      </c>
      <c r="J62" s="21" t="s">
        <v>25</v>
      </c>
      <c r="K62" s="163">
        <v>1</v>
      </c>
      <c r="L62" s="244" t="s">
        <v>947</v>
      </c>
      <c r="M62" s="690" t="s">
        <v>33</v>
      </c>
      <c r="N62" s="452" t="s">
        <v>325</v>
      </c>
      <c r="O62" s="22" t="s">
        <v>959</v>
      </c>
      <c r="P62" s="836"/>
    </row>
    <row r="63" spans="1:16" s="256" customFormat="1" ht="72">
      <c r="A63" s="675">
        <v>57</v>
      </c>
      <c r="B63" s="152" t="s">
        <v>20</v>
      </c>
      <c r="C63" s="65"/>
      <c r="D63" s="152" t="s">
        <v>40</v>
      </c>
      <c r="E63" s="152" t="s">
        <v>570</v>
      </c>
      <c r="F63" s="177">
        <f>38* 22320</f>
        <v>848160</v>
      </c>
      <c r="G63" s="83" t="s">
        <v>23</v>
      </c>
      <c r="H63" s="221" t="s">
        <v>41</v>
      </c>
      <c r="I63" s="83">
        <v>1399</v>
      </c>
      <c r="J63" s="21" t="s">
        <v>25</v>
      </c>
      <c r="K63" s="163">
        <v>1</v>
      </c>
      <c r="L63" s="244"/>
      <c r="M63" s="690" t="s">
        <v>33</v>
      </c>
      <c r="N63" s="244"/>
      <c r="O63" s="57"/>
      <c r="P63" s="152"/>
    </row>
    <row r="64" spans="1:16" s="256" customFormat="1" ht="72">
      <c r="A64" s="675">
        <v>58</v>
      </c>
      <c r="B64" s="152" t="s">
        <v>20</v>
      </c>
      <c r="C64" s="65"/>
      <c r="D64" s="152" t="s">
        <v>40</v>
      </c>
      <c r="E64" s="152" t="s">
        <v>569</v>
      </c>
      <c r="F64" s="177">
        <f>50* 3645</f>
        <v>182250</v>
      </c>
      <c r="G64" s="83" t="s">
        <v>23</v>
      </c>
      <c r="H64" s="221" t="s">
        <v>41</v>
      </c>
      <c r="I64" s="83">
        <v>1399</v>
      </c>
      <c r="J64" s="21" t="s">
        <v>25</v>
      </c>
      <c r="K64" s="163">
        <v>1</v>
      </c>
      <c r="L64" s="244"/>
      <c r="M64" s="690" t="s">
        <v>33</v>
      </c>
      <c r="N64" s="244"/>
      <c r="O64" s="57"/>
      <c r="P64" s="152"/>
    </row>
    <row r="65" spans="1:16" s="256" customFormat="1" ht="72">
      <c r="A65" s="675">
        <v>59</v>
      </c>
      <c r="B65" s="152" t="s">
        <v>20</v>
      </c>
      <c r="C65" s="65"/>
      <c r="D65" s="152" t="s">
        <v>40</v>
      </c>
      <c r="E65" s="152" t="s">
        <v>568</v>
      </c>
      <c r="F65" s="177">
        <f>5* 44640</f>
        <v>223200</v>
      </c>
      <c r="G65" s="83" t="s">
        <v>23</v>
      </c>
      <c r="H65" s="221" t="s">
        <v>41</v>
      </c>
      <c r="I65" s="83">
        <v>1399</v>
      </c>
      <c r="J65" s="21" t="s">
        <v>25</v>
      </c>
      <c r="K65" s="163">
        <v>1</v>
      </c>
      <c r="L65" s="244"/>
      <c r="M65" s="690" t="s">
        <v>33</v>
      </c>
      <c r="N65" s="244"/>
      <c r="O65" s="57"/>
      <c r="P65" s="152"/>
    </row>
    <row r="66" spans="1:16" s="256" customFormat="1" ht="72">
      <c r="A66" s="675">
        <v>60</v>
      </c>
      <c r="B66" s="152" t="s">
        <v>20</v>
      </c>
      <c r="C66" s="65"/>
      <c r="D66" s="152" t="s">
        <v>40</v>
      </c>
      <c r="E66" s="152" t="s">
        <v>567</v>
      </c>
      <c r="F66" s="177">
        <f>10* 52471</f>
        <v>524710</v>
      </c>
      <c r="G66" s="83" t="s">
        <v>23</v>
      </c>
      <c r="H66" s="221" t="s">
        <v>41</v>
      </c>
      <c r="I66" s="83">
        <v>1399</v>
      </c>
      <c r="J66" s="21" t="s">
        <v>25</v>
      </c>
      <c r="K66" s="163">
        <v>1</v>
      </c>
      <c r="L66" s="244"/>
      <c r="M66" s="690" t="s">
        <v>33</v>
      </c>
      <c r="N66" s="244"/>
      <c r="O66" s="57"/>
      <c r="P66" s="152"/>
    </row>
    <row r="67" spans="1:16" s="256" customFormat="1" ht="72">
      <c r="A67" s="675">
        <v>61</v>
      </c>
      <c r="B67" s="152" t="s">
        <v>20</v>
      </c>
      <c r="C67" s="65"/>
      <c r="D67" s="152" t="s">
        <v>40</v>
      </c>
      <c r="E67" s="152" t="s">
        <v>440</v>
      </c>
      <c r="F67" s="177">
        <f>250*1518</f>
        <v>379500</v>
      </c>
      <c r="G67" s="83" t="s">
        <v>23</v>
      </c>
      <c r="H67" s="221" t="s">
        <v>41</v>
      </c>
      <c r="I67" s="83">
        <v>1399</v>
      </c>
      <c r="J67" s="21" t="s">
        <v>25</v>
      </c>
      <c r="K67" s="163">
        <v>1</v>
      </c>
      <c r="L67" s="244"/>
      <c r="M67" s="690" t="s">
        <v>33</v>
      </c>
      <c r="N67" s="244"/>
      <c r="O67" s="57"/>
      <c r="P67" s="152"/>
    </row>
    <row r="68" spans="1:16" s="256" customFormat="1" ht="90">
      <c r="A68" s="675">
        <v>62</v>
      </c>
      <c r="B68" s="152" t="s">
        <v>20</v>
      </c>
      <c r="C68" s="65"/>
      <c r="D68" s="152" t="s">
        <v>40</v>
      </c>
      <c r="E68" s="40" t="s">
        <v>566</v>
      </c>
      <c r="F68" s="177">
        <v>781200</v>
      </c>
      <c r="G68" s="83" t="s">
        <v>23</v>
      </c>
      <c r="H68" s="221" t="s">
        <v>41</v>
      </c>
      <c r="I68" s="83">
        <v>1399</v>
      </c>
      <c r="J68" s="21" t="s">
        <v>25</v>
      </c>
      <c r="K68" s="163">
        <v>1</v>
      </c>
      <c r="L68" s="244" t="s">
        <v>947</v>
      </c>
      <c r="M68" s="690" t="s">
        <v>33</v>
      </c>
      <c r="N68" s="669" t="s">
        <v>607</v>
      </c>
      <c r="O68" s="22" t="s">
        <v>989</v>
      </c>
      <c r="P68" s="152"/>
    </row>
    <row r="69" spans="1:16" s="256" customFormat="1" ht="90">
      <c r="A69" s="675">
        <v>63</v>
      </c>
      <c r="B69" s="152" t="s">
        <v>20</v>
      </c>
      <c r="C69" s="65"/>
      <c r="D69" s="152" t="s">
        <v>40</v>
      </c>
      <c r="E69" s="40" t="s">
        <v>90</v>
      </c>
      <c r="F69" s="177">
        <v>42514</v>
      </c>
      <c r="G69" s="83" t="s">
        <v>23</v>
      </c>
      <c r="H69" s="221" t="s">
        <v>41</v>
      </c>
      <c r="I69" s="83">
        <v>1399</v>
      </c>
      <c r="J69" s="21" t="s">
        <v>25</v>
      </c>
      <c r="K69" s="163">
        <v>1</v>
      </c>
      <c r="L69" s="244" t="s">
        <v>947</v>
      </c>
      <c r="M69" s="690" t="s">
        <v>33</v>
      </c>
      <c r="N69" s="669" t="s">
        <v>607</v>
      </c>
      <c r="O69" s="22" t="s">
        <v>989</v>
      </c>
      <c r="P69" s="152"/>
    </row>
    <row r="70" spans="1:16" s="256" customFormat="1" ht="90">
      <c r="A70" s="675">
        <v>64</v>
      </c>
      <c r="B70" s="152" t="s">
        <v>20</v>
      </c>
      <c r="C70" s="65"/>
      <c r="D70" s="152" t="s">
        <v>40</v>
      </c>
      <c r="E70" s="40" t="s">
        <v>91</v>
      </c>
      <c r="F70" s="177">
        <f>100*1041</f>
        <v>104100</v>
      </c>
      <c r="G70" s="83" t="s">
        <v>23</v>
      </c>
      <c r="H70" s="221" t="s">
        <v>41</v>
      </c>
      <c r="I70" s="83">
        <v>1399</v>
      </c>
      <c r="J70" s="21" t="s">
        <v>25</v>
      </c>
      <c r="K70" s="163">
        <v>1</v>
      </c>
      <c r="L70" s="244" t="s">
        <v>947</v>
      </c>
      <c r="M70" s="690" t="s">
        <v>33</v>
      </c>
      <c r="N70" s="444" t="s">
        <v>607</v>
      </c>
      <c r="O70" s="22" t="s">
        <v>989</v>
      </c>
      <c r="P70" s="152"/>
    </row>
    <row r="71" spans="1:16" s="256" customFormat="1" ht="90">
      <c r="A71" s="675">
        <v>65</v>
      </c>
      <c r="B71" s="152" t="s">
        <v>20</v>
      </c>
      <c r="C71" s="65"/>
      <c r="D71" s="152" t="s">
        <v>40</v>
      </c>
      <c r="E71" s="40" t="s">
        <v>92</v>
      </c>
      <c r="F71" s="177">
        <f>150* 729</f>
        <v>109350</v>
      </c>
      <c r="G71" s="83" t="s">
        <v>23</v>
      </c>
      <c r="H71" s="221" t="s">
        <v>41</v>
      </c>
      <c r="I71" s="83">
        <v>1399</v>
      </c>
      <c r="J71" s="21" t="s">
        <v>25</v>
      </c>
      <c r="K71" s="163">
        <v>1</v>
      </c>
      <c r="L71" s="244" t="s">
        <v>947</v>
      </c>
      <c r="M71" s="690" t="s">
        <v>33</v>
      </c>
      <c r="N71" s="444" t="s">
        <v>607</v>
      </c>
      <c r="O71" s="22" t="s">
        <v>989</v>
      </c>
      <c r="P71" s="152"/>
    </row>
    <row r="72" spans="1:16" s="256" customFormat="1" ht="90">
      <c r="A72" s="675">
        <v>66</v>
      </c>
      <c r="B72" s="152" t="s">
        <v>20</v>
      </c>
      <c r="C72" s="65"/>
      <c r="D72" s="152" t="s">
        <v>40</v>
      </c>
      <c r="E72" s="40" t="s">
        <v>93</v>
      </c>
      <c r="F72" s="177">
        <f>100*911</f>
        <v>91100</v>
      </c>
      <c r="G72" s="83" t="s">
        <v>23</v>
      </c>
      <c r="H72" s="221" t="s">
        <v>41</v>
      </c>
      <c r="I72" s="83">
        <v>1399</v>
      </c>
      <c r="J72" s="21" t="s">
        <v>25</v>
      </c>
      <c r="K72" s="163">
        <v>1</v>
      </c>
      <c r="L72" s="244" t="s">
        <v>947</v>
      </c>
      <c r="M72" s="690" t="s">
        <v>33</v>
      </c>
      <c r="N72" s="444" t="s">
        <v>607</v>
      </c>
      <c r="O72" s="22" t="s">
        <v>989</v>
      </c>
      <c r="P72" s="152"/>
    </row>
    <row r="73" spans="1:16" s="256" customFormat="1" ht="90">
      <c r="A73" s="675">
        <v>67</v>
      </c>
      <c r="B73" s="152" t="s">
        <v>20</v>
      </c>
      <c r="C73" s="65"/>
      <c r="D73" s="152" t="s">
        <v>40</v>
      </c>
      <c r="E73" s="349" t="s">
        <v>439</v>
      </c>
      <c r="F73" s="177">
        <f>800* 315</f>
        <v>252000</v>
      </c>
      <c r="G73" s="83" t="s">
        <v>23</v>
      </c>
      <c r="H73" s="221" t="s">
        <v>41</v>
      </c>
      <c r="I73" s="83">
        <v>1399</v>
      </c>
      <c r="J73" s="21" t="s">
        <v>25</v>
      </c>
      <c r="K73" s="163">
        <v>1</v>
      </c>
      <c r="L73" s="244" t="s">
        <v>947</v>
      </c>
      <c r="M73" s="690" t="s">
        <v>33</v>
      </c>
      <c r="N73" s="444" t="s">
        <v>607</v>
      </c>
      <c r="O73" s="22" t="s">
        <v>989</v>
      </c>
      <c r="P73" s="152"/>
    </row>
    <row r="74" spans="1:16" s="256" customFormat="1" ht="72">
      <c r="A74" s="675">
        <v>68</v>
      </c>
      <c r="B74" s="152" t="s">
        <v>20</v>
      </c>
      <c r="C74" s="65"/>
      <c r="D74" s="152" t="s">
        <v>40</v>
      </c>
      <c r="E74" s="349" t="s">
        <v>94</v>
      </c>
      <c r="F74" s="177">
        <f>2* 45570</f>
        <v>91140</v>
      </c>
      <c r="G74" s="83" t="s">
        <v>23</v>
      </c>
      <c r="H74" s="221" t="s">
        <v>41</v>
      </c>
      <c r="I74" s="83">
        <v>1399</v>
      </c>
      <c r="J74" s="21" t="s">
        <v>25</v>
      </c>
      <c r="K74" s="163">
        <v>1</v>
      </c>
      <c r="L74" s="244"/>
      <c r="M74" s="690" t="s">
        <v>33</v>
      </c>
      <c r="N74" s="244"/>
      <c r="O74" s="57"/>
      <c r="P74" s="152"/>
    </row>
    <row r="75" spans="1:16" s="256" customFormat="1" ht="72">
      <c r="A75" s="675">
        <v>69</v>
      </c>
      <c r="B75" s="152" t="s">
        <v>20</v>
      </c>
      <c r="C75" s="65"/>
      <c r="D75" s="152" t="s">
        <v>40</v>
      </c>
      <c r="E75" s="152" t="s">
        <v>95</v>
      </c>
      <c r="F75" s="177">
        <f>10* 10416</f>
        <v>104160</v>
      </c>
      <c r="G75" s="83" t="s">
        <v>23</v>
      </c>
      <c r="H75" s="221" t="s">
        <v>41</v>
      </c>
      <c r="I75" s="83">
        <v>1399</v>
      </c>
      <c r="J75" s="21" t="s">
        <v>25</v>
      </c>
      <c r="K75" s="163">
        <v>1</v>
      </c>
      <c r="L75" s="244"/>
      <c r="M75" s="690" t="s">
        <v>33</v>
      </c>
      <c r="N75" s="244"/>
      <c r="O75" s="57"/>
      <c r="P75" s="152"/>
    </row>
    <row r="76" spans="1:16" s="256" customFormat="1" ht="90">
      <c r="A76" s="675">
        <v>70</v>
      </c>
      <c r="B76" s="152" t="s">
        <v>20</v>
      </c>
      <c r="C76" s="65"/>
      <c r="D76" s="152" t="s">
        <v>40</v>
      </c>
      <c r="E76" s="349" t="s">
        <v>356</v>
      </c>
      <c r="F76" s="177">
        <f>30*36456</f>
        <v>1093680</v>
      </c>
      <c r="G76" s="83" t="s">
        <v>23</v>
      </c>
      <c r="H76" s="221" t="s">
        <v>41</v>
      </c>
      <c r="I76" s="83">
        <v>1399</v>
      </c>
      <c r="J76" s="21" t="s">
        <v>25</v>
      </c>
      <c r="K76" s="163">
        <v>1</v>
      </c>
      <c r="L76" s="244" t="s">
        <v>947</v>
      </c>
      <c r="M76" s="690" t="s">
        <v>33</v>
      </c>
      <c r="N76" s="444" t="s">
        <v>607</v>
      </c>
      <c r="O76" s="22" t="s">
        <v>989</v>
      </c>
      <c r="P76" s="152"/>
    </row>
    <row r="77" spans="1:16" s="256" customFormat="1" ht="72" customHeight="1">
      <c r="A77" s="675">
        <v>71</v>
      </c>
      <c r="B77" s="152" t="s">
        <v>20</v>
      </c>
      <c r="C77" s="65"/>
      <c r="D77" s="152" t="s">
        <v>40</v>
      </c>
      <c r="E77" s="152" t="s">
        <v>96</v>
      </c>
      <c r="F77" s="177">
        <v>2695000</v>
      </c>
      <c r="G77" s="83" t="s">
        <v>23</v>
      </c>
      <c r="H77" s="221" t="s">
        <v>41</v>
      </c>
      <c r="I77" s="83">
        <v>1399</v>
      </c>
      <c r="J77" s="21" t="s">
        <v>25</v>
      </c>
      <c r="K77" s="163">
        <v>1</v>
      </c>
      <c r="L77" s="244" t="s">
        <v>947</v>
      </c>
      <c r="M77" s="690" t="s">
        <v>33</v>
      </c>
      <c r="N77" s="444" t="s">
        <v>607</v>
      </c>
      <c r="O77" s="22" t="s">
        <v>989</v>
      </c>
      <c r="P77" s="152"/>
    </row>
    <row r="78" spans="1:16" s="256" customFormat="1" ht="72">
      <c r="A78" s="675">
        <v>72</v>
      </c>
      <c r="B78" s="152" t="s">
        <v>20</v>
      </c>
      <c r="C78" s="65"/>
      <c r="D78" s="152" t="s">
        <v>40</v>
      </c>
      <c r="E78" s="152" t="s">
        <v>565</v>
      </c>
      <c r="F78" s="177">
        <f>10*66000</f>
        <v>660000</v>
      </c>
      <c r="G78" s="83" t="s">
        <v>23</v>
      </c>
      <c r="H78" s="221" t="s">
        <v>41</v>
      </c>
      <c r="I78" s="83">
        <v>1399</v>
      </c>
      <c r="J78" s="21" t="s">
        <v>25</v>
      </c>
      <c r="K78" s="163">
        <v>1</v>
      </c>
      <c r="L78" s="244"/>
      <c r="M78" s="690" t="s">
        <v>33</v>
      </c>
      <c r="N78" s="244"/>
      <c r="O78" s="57"/>
      <c r="P78" s="152"/>
    </row>
    <row r="79" spans="1:16" s="256" customFormat="1" ht="72">
      <c r="A79" s="675">
        <v>73</v>
      </c>
      <c r="B79" s="152" t="s">
        <v>20</v>
      </c>
      <c r="C79" s="65"/>
      <c r="D79" s="152" t="s">
        <v>40</v>
      </c>
      <c r="E79" s="164" t="s">
        <v>564</v>
      </c>
      <c r="F79" s="177">
        <f>20* 30000</f>
        <v>600000</v>
      </c>
      <c r="G79" s="83" t="s">
        <v>23</v>
      </c>
      <c r="H79" s="221" t="s">
        <v>41</v>
      </c>
      <c r="I79" s="83">
        <v>1399</v>
      </c>
      <c r="J79" s="21" t="s">
        <v>25</v>
      </c>
      <c r="K79" s="163">
        <v>1</v>
      </c>
      <c r="L79" s="244"/>
      <c r="M79" s="690" t="s">
        <v>33</v>
      </c>
      <c r="N79" s="244"/>
      <c r="O79" s="57"/>
      <c r="P79" s="152"/>
    </row>
    <row r="80" spans="1:16" s="256" customFormat="1" ht="90">
      <c r="A80" s="675">
        <v>74</v>
      </c>
      <c r="B80" s="152" t="s">
        <v>20</v>
      </c>
      <c r="C80" s="65"/>
      <c r="D80" s="152" t="s">
        <v>40</v>
      </c>
      <c r="E80" s="152" t="s">
        <v>563</v>
      </c>
      <c r="F80" s="177">
        <f>1300* 900</f>
        <v>1170000</v>
      </c>
      <c r="G80" s="83" t="s">
        <v>23</v>
      </c>
      <c r="H80" s="221" t="s">
        <v>41</v>
      </c>
      <c r="I80" s="83">
        <v>1399</v>
      </c>
      <c r="J80" s="21" t="s">
        <v>25</v>
      </c>
      <c r="K80" s="163">
        <v>1</v>
      </c>
      <c r="L80" s="244" t="s">
        <v>947</v>
      </c>
      <c r="M80" s="690" t="s">
        <v>33</v>
      </c>
      <c r="N80" s="444" t="s">
        <v>607</v>
      </c>
      <c r="O80" s="22" t="s">
        <v>989</v>
      </c>
      <c r="P80" s="152"/>
    </row>
    <row r="81" spans="1:16" s="256" customFormat="1" ht="168.6" customHeight="1">
      <c r="A81" s="675">
        <v>75</v>
      </c>
      <c r="B81" s="152" t="s">
        <v>20</v>
      </c>
      <c r="C81" s="65" t="s">
        <v>562</v>
      </c>
      <c r="D81" s="152" t="s">
        <v>55</v>
      </c>
      <c r="E81" s="152" t="s">
        <v>561</v>
      </c>
      <c r="F81" s="177">
        <v>4689151</v>
      </c>
      <c r="G81" s="83" t="s">
        <v>23</v>
      </c>
      <c r="H81" s="221" t="s">
        <v>24</v>
      </c>
      <c r="I81" s="83">
        <v>1399</v>
      </c>
      <c r="J81" s="21" t="s">
        <v>25</v>
      </c>
      <c r="K81" s="163">
        <v>1</v>
      </c>
      <c r="L81" s="244"/>
      <c r="M81" s="690" t="s">
        <v>33</v>
      </c>
      <c r="N81" s="244"/>
      <c r="O81" s="57"/>
      <c r="P81" s="152" t="s">
        <v>17</v>
      </c>
    </row>
    <row r="82" spans="1:16" ht="64.900000000000006" customHeight="1">
      <c r="A82" s="675">
        <v>76</v>
      </c>
      <c r="B82" s="6" t="s">
        <v>75</v>
      </c>
      <c r="C82" s="65"/>
      <c r="D82" s="152" t="s">
        <v>76</v>
      </c>
      <c r="E82" s="152" t="s">
        <v>559</v>
      </c>
      <c r="F82" s="185">
        <v>157269140</v>
      </c>
      <c r="G82" s="82" t="s">
        <v>23</v>
      </c>
      <c r="H82" s="64" t="s">
        <v>77</v>
      </c>
      <c r="I82" s="82">
        <v>1399</v>
      </c>
      <c r="J82" s="65" t="s">
        <v>25</v>
      </c>
      <c r="K82" s="163">
        <v>0.95</v>
      </c>
      <c r="L82" s="64"/>
      <c r="M82" s="690" t="s">
        <v>42</v>
      </c>
      <c r="N82" s="65"/>
      <c r="O82" s="65"/>
      <c r="P82" s="64" t="s">
        <v>1860</v>
      </c>
    </row>
    <row r="83" spans="1:16" s="256" customFormat="1" ht="91.15" customHeight="1">
      <c r="A83" s="675">
        <v>77</v>
      </c>
      <c r="B83" s="462" t="s">
        <v>20</v>
      </c>
      <c r="C83" s="462" t="s">
        <v>1025</v>
      </c>
      <c r="D83" s="462" t="s">
        <v>556</v>
      </c>
      <c r="E83" s="462" t="s">
        <v>558</v>
      </c>
      <c r="F83" s="177">
        <v>840000</v>
      </c>
      <c r="G83" s="354" t="s">
        <v>23</v>
      </c>
      <c r="H83" s="221" t="s">
        <v>24</v>
      </c>
      <c r="I83" s="354">
        <v>1399</v>
      </c>
      <c r="J83" s="458" t="s">
        <v>25</v>
      </c>
      <c r="K83" s="163">
        <v>1</v>
      </c>
      <c r="L83" s="257"/>
      <c r="M83" s="690" t="s">
        <v>33</v>
      </c>
      <c r="N83" s="257"/>
      <c r="O83" s="257"/>
      <c r="P83" s="462"/>
    </row>
    <row r="84" spans="1:16" s="256" customFormat="1" ht="54">
      <c r="A84" s="675">
        <v>78</v>
      </c>
      <c r="B84" s="462" t="s">
        <v>20</v>
      </c>
      <c r="C84" s="462" t="s">
        <v>1364</v>
      </c>
      <c r="D84" s="462" t="s">
        <v>556</v>
      </c>
      <c r="E84" s="462" t="s">
        <v>557</v>
      </c>
      <c r="F84" s="177">
        <v>240000</v>
      </c>
      <c r="G84" s="354" t="s">
        <v>23</v>
      </c>
      <c r="H84" s="221" t="s">
        <v>24</v>
      </c>
      <c r="I84" s="354">
        <v>1399</v>
      </c>
      <c r="J84" s="458" t="s">
        <v>25</v>
      </c>
      <c r="K84" s="163">
        <v>1</v>
      </c>
      <c r="L84" s="533"/>
      <c r="M84" s="690" t="s">
        <v>33</v>
      </c>
      <c r="N84" s="257"/>
      <c r="O84" s="257"/>
      <c r="P84" s="462"/>
    </row>
    <row r="85" spans="1:16" s="256" customFormat="1" ht="54">
      <c r="A85" s="675">
        <v>79</v>
      </c>
      <c r="B85" s="462" t="s">
        <v>20</v>
      </c>
      <c r="C85" s="468" t="s">
        <v>1365</v>
      </c>
      <c r="D85" s="462" t="s">
        <v>556</v>
      </c>
      <c r="E85" s="462" t="s">
        <v>555</v>
      </c>
      <c r="F85" s="177">
        <v>120000</v>
      </c>
      <c r="G85" s="354" t="s">
        <v>23</v>
      </c>
      <c r="H85" s="221" t="s">
        <v>24</v>
      </c>
      <c r="I85" s="354">
        <v>1399</v>
      </c>
      <c r="J85" s="458" t="s">
        <v>25</v>
      </c>
      <c r="K85" s="163">
        <v>1</v>
      </c>
      <c r="L85" s="533"/>
      <c r="M85" s="690" t="s">
        <v>33</v>
      </c>
      <c r="N85" s="257"/>
      <c r="O85" s="257"/>
      <c r="P85" s="462"/>
    </row>
    <row r="86" spans="1:16" s="552" customFormat="1" ht="47.25" customHeight="1">
      <c r="A86" s="675">
        <v>80</v>
      </c>
      <c r="B86" s="237" t="s">
        <v>20</v>
      </c>
      <c r="C86" s="196"/>
      <c r="D86" s="196" t="s">
        <v>73</v>
      </c>
      <c r="E86" s="237" t="s">
        <v>74</v>
      </c>
      <c r="F86" s="259">
        <v>792235</v>
      </c>
      <c r="G86" s="354" t="s">
        <v>23</v>
      </c>
      <c r="H86" s="476" t="s">
        <v>24</v>
      </c>
      <c r="I86" s="354">
        <v>1399</v>
      </c>
      <c r="J86" s="551" t="s">
        <v>25</v>
      </c>
      <c r="K86" s="163"/>
      <c r="L86" s="33" t="s">
        <v>72</v>
      </c>
      <c r="M86" s="33"/>
      <c r="N86" s="658" t="s">
        <v>581</v>
      </c>
      <c r="O86" s="236" t="s">
        <v>1846</v>
      </c>
      <c r="P86" s="553"/>
    </row>
    <row r="87" spans="1:16" s="552" customFormat="1" ht="108" customHeight="1">
      <c r="A87" s="675">
        <v>81</v>
      </c>
      <c r="B87" s="237" t="s">
        <v>20</v>
      </c>
      <c r="C87" s="196"/>
      <c r="D87" s="196" t="s">
        <v>1473</v>
      </c>
      <c r="E87" s="237" t="s">
        <v>1013</v>
      </c>
      <c r="F87" s="259">
        <v>385370</v>
      </c>
      <c r="G87" s="354" t="s">
        <v>23</v>
      </c>
      <c r="H87" s="476" t="s">
        <v>24</v>
      </c>
      <c r="I87" s="354">
        <v>1399</v>
      </c>
      <c r="J87" s="551" t="s">
        <v>25</v>
      </c>
      <c r="K87" s="163">
        <v>1</v>
      </c>
      <c r="L87" s="33"/>
      <c r="M87" s="33" t="s">
        <v>33</v>
      </c>
      <c r="N87" s="33"/>
      <c r="O87" s="236"/>
      <c r="P87" s="553"/>
    </row>
    <row r="88" spans="1:16" s="552" customFormat="1" ht="54">
      <c r="A88" s="675">
        <v>82</v>
      </c>
      <c r="B88" s="237" t="s">
        <v>20</v>
      </c>
      <c r="C88" s="196"/>
      <c r="D88" s="196" t="s">
        <v>73</v>
      </c>
      <c r="E88" s="237" t="s">
        <v>97</v>
      </c>
      <c r="F88" s="259">
        <v>1282840</v>
      </c>
      <c r="G88" s="354" t="s">
        <v>23</v>
      </c>
      <c r="H88" s="476" t="s">
        <v>24</v>
      </c>
      <c r="I88" s="354">
        <v>1399</v>
      </c>
      <c r="J88" s="551" t="s">
        <v>25</v>
      </c>
      <c r="K88" s="163"/>
      <c r="L88" s="33" t="s">
        <v>72</v>
      </c>
      <c r="M88" s="33"/>
      <c r="N88" s="623" t="s">
        <v>581</v>
      </c>
      <c r="O88" s="236" t="s">
        <v>1846</v>
      </c>
      <c r="P88" s="553"/>
    </row>
  </sheetData>
  <mergeCells count="16">
    <mergeCell ref="P47:P48"/>
    <mergeCell ref="P60:P62"/>
    <mergeCell ref="N5:N6"/>
    <mergeCell ref="O5:O6"/>
    <mergeCell ref="I5:I6"/>
    <mergeCell ref="J5:J6"/>
    <mergeCell ref="K5:K6"/>
    <mergeCell ref="A1:P4"/>
    <mergeCell ref="A5:A6"/>
    <mergeCell ref="B5:B6"/>
    <mergeCell ref="C5:C6"/>
    <mergeCell ref="D5:D6"/>
    <mergeCell ref="E5:E6"/>
    <mergeCell ref="F5:H5"/>
    <mergeCell ref="L5:M5"/>
    <mergeCell ref="P5:P6"/>
  </mergeCells>
  <pageMargins left="0.7" right="0.7" top="0.75" bottom="0.75" header="0.3" footer="0.3"/>
  <pageSetup scale="53" orientation="landscape" r:id="rId1"/>
</worksheet>
</file>

<file path=xl/worksheets/sheet27.xml><?xml version="1.0" encoding="utf-8"?>
<worksheet xmlns="http://schemas.openxmlformats.org/spreadsheetml/2006/main" xmlns:r="http://schemas.openxmlformats.org/officeDocument/2006/relationships">
  <sheetPr>
    <tabColor rgb="FF92D050"/>
  </sheetPr>
  <dimension ref="A1:P74"/>
  <sheetViews>
    <sheetView rightToLeft="1" view="pageBreakPreview" zoomScale="82" zoomScaleSheetLayoutView="82" workbookViewId="0">
      <pane xSplit="1" ySplit="6" topLeftCell="C70" activePane="bottomRight" state="frozen"/>
      <selection pane="topRight" activeCell="B1" sqref="B1"/>
      <selection pane="bottomLeft" activeCell="A4" sqref="A4"/>
      <selection pane="bottomRight" activeCell="L73" sqref="L73"/>
    </sheetView>
  </sheetViews>
  <sheetFormatPr defaultColWidth="9.140625" defaultRowHeight="15"/>
  <cols>
    <col min="1" max="1" width="8.5703125" style="1" customWidth="1"/>
    <col min="2" max="2" width="14.7109375" style="10" customWidth="1"/>
    <col min="3" max="3" width="11.5703125" style="10" customWidth="1"/>
    <col min="4" max="4" width="14.85546875" style="10" customWidth="1"/>
    <col min="5" max="5" width="30.42578125" style="10" customWidth="1"/>
    <col min="6" max="6" width="17.7109375" style="2" customWidth="1"/>
    <col min="7" max="7" width="8.28515625" style="2" customWidth="1"/>
    <col min="8" max="8" width="10.140625" style="2" customWidth="1"/>
    <col min="9" max="9" width="8.5703125" style="1" customWidth="1"/>
    <col min="10" max="10" width="12.42578125" style="11" customWidth="1"/>
    <col min="11" max="11" width="13.85546875" style="14" customWidth="1"/>
    <col min="12" max="12" width="11.140625" style="145" customWidth="1"/>
    <col min="13" max="13" width="13.42578125" style="252" customWidth="1"/>
    <col min="14" max="14" width="22.28515625" style="11" customWidth="1"/>
    <col min="15" max="15" width="19.7109375" style="11" customWidth="1"/>
    <col min="16" max="16" width="19.28515625" style="145" customWidth="1"/>
    <col min="17" max="16384" width="9.140625" style="145"/>
  </cols>
  <sheetData>
    <row r="1" spans="1:16" ht="18" customHeight="1">
      <c r="A1" s="788" t="s">
        <v>1974</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8.9" customHeight="1">
      <c r="A5" s="884" t="s">
        <v>0</v>
      </c>
      <c r="B5" s="884" t="s">
        <v>14</v>
      </c>
      <c r="C5" s="884" t="s">
        <v>19</v>
      </c>
      <c r="D5" s="884" t="s">
        <v>1</v>
      </c>
      <c r="E5" s="884" t="s">
        <v>15</v>
      </c>
      <c r="F5" s="884" t="s">
        <v>9</v>
      </c>
      <c r="G5" s="884"/>
      <c r="H5" s="884"/>
      <c r="I5" s="884" t="s">
        <v>7</v>
      </c>
      <c r="J5" s="884" t="s">
        <v>6</v>
      </c>
      <c r="K5" s="885" t="s">
        <v>16</v>
      </c>
      <c r="L5" s="884" t="s">
        <v>2</v>
      </c>
      <c r="M5" s="884"/>
      <c r="N5" s="884" t="s">
        <v>5</v>
      </c>
      <c r="O5" s="884" t="s">
        <v>13</v>
      </c>
      <c r="P5" s="884" t="s">
        <v>8</v>
      </c>
    </row>
    <row r="6" spans="1:16" ht="39.6" customHeight="1">
      <c r="A6" s="884"/>
      <c r="B6" s="884"/>
      <c r="C6" s="884"/>
      <c r="D6" s="884"/>
      <c r="E6" s="884"/>
      <c r="F6" s="254" t="s">
        <v>10</v>
      </c>
      <c r="G6" s="254" t="s">
        <v>11</v>
      </c>
      <c r="H6" s="254" t="s">
        <v>12</v>
      </c>
      <c r="I6" s="884"/>
      <c r="J6" s="884"/>
      <c r="K6" s="885"/>
      <c r="L6" s="254" t="s">
        <v>3</v>
      </c>
      <c r="M6" s="253" t="s">
        <v>4</v>
      </c>
      <c r="N6" s="884"/>
      <c r="O6" s="884"/>
      <c r="P6" s="884"/>
    </row>
    <row r="7" spans="1:16" s="5" customFormat="1" ht="157.15" customHeight="1">
      <c r="A7" s="577">
        <v>1</v>
      </c>
      <c r="B7" s="237" t="s">
        <v>75</v>
      </c>
      <c r="C7" s="196" t="s">
        <v>1739</v>
      </c>
      <c r="D7" s="40" t="s">
        <v>1740</v>
      </c>
      <c r="E7" s="40" t="s">
        <v>1741</v>
      </c>
      <c r="F7" s="259">
        <v>34669991</v>
      </c>
      <c r="G7" s="354" t="s">
        <v>23</v>
      </c>
      <c r="H7" s="354" t="s">
        <v>77</v>
      </c>
      <c r="I7" s="354">
        <v>1399</v>
      </c>
      <c r="J7" s="571" t="s">
        <v>25</v>
      </c>
      <c r="K7" s="60">
        <v>1</v>
      </c>
      <c r="L7" s="43"/>
      <c r="M7" s="43" t="s">
        <v>33</v>
      </c>
      <c r="N7" s="33"/>
      <c r="O7" s="33"/>
      <c r="P7" s="354" t="s">
        <v>17</v>
      </c>
    </row>
    <row r="8" spans="1:16" s="5" customFormat="1" ht="54">
      <c r="A8" s="577">
        <v>2</v>
      </c>
      <c r="B8" s="237" t="s">
        <v>75</v>
      </c>
      <c r="C8" s="196" t="s">
        <v>1742</v>
      </c>
      <c r="D8" s="40" t="s">
        <v>320</v>
      </c>
      <c r="E8" s="40" t="s">
        <v>1743</v>
      </c>
      <c r="F8" s="259">
        <v>4000000</v>
      </c>
      <c r="G8" s="354" t="s">
        <v>23</v>
      </c>
      <c r="H8" s="354" t="s">
        <v>77</v>
      </c>
      <c r="I8" s="354">
        <v>1399</v>
      </c>
      <c r="J8" s="571" t="s">
        <v>25</v>
      </c>
      <c r="K8" s="60">
        <v>1</v>
      </c>
      <c r="L8" s="32"/>
      <c r="M8" s="43" t="s">
        <v>33</v>
      </c>
      <c r="N8" s="33"/>
      <c r="O8" s="33"/>
      <c r="P8" s="354" t="s">
        <v>17</v>
      </c>
    </row>
    <row r="9" spans="1:16" s="5" customFormat="1" ht="54">
      <c r="A9" s="675">
        <v>3</v>
      </c>
      <c r="B9" s="237" t="s">
        <v>75</v>
      </c>
      <c r="C9" s="196" t="s">
        <v>184</v>
      </c>
      <c r="D9" s="40" t="s">
        <v>320</v>
      </c>
      <c r="E9" s="40" t="s">
        <v>1744</v>
      </c>
      <c r="F9" s="259">
        <v>225666.66666666666</v>
      </c>
      <c r="G9" s="354" t="s">
        <v>23</v>
      </c>
      <c r="H9" s="354" t="s">
        <v>77</v>
      </c>
      <c r="I9" s="354">
        <v>1399</v>
      </c>
      <c r="J9" s="571" t="s">
        <v>25</v>
      </c>
      <c r="K9" s="60">
        <v>1</v>
      </c>
      <c r="L9" s="32"/>
      <c r="M9" s="43" t="s">
        <v>33</v>
      </c>
      <c r="N9" s="33"/>
      <c r="O9" s="33"/>
      <c r="P9" s="354"/>
    </row>
    <row r="10" spans="1:16" s="5" customFormat="1" ht="54">
      <c r="A10" s="675">
        <v>4</v>
      </c>
      <c r="B10" s="237" t="s">
        <v>75</v>
      </c>
      <c r="C10" s="196" t="s">
        <v>1745</v>
      </c>
      <c r="D10" s="40" t="s">
        <v>320</v>
      </c>
      <c r="E10" s="40" t="s">
        <v>1746</v>
      </c>
      <c r="F10" s="259">
        <v>270000</v>
      </c>
      <c r="G10" s="354" t="s">
        <v>23</v>
      </c>
      <c r="H10" s="354" t="s">
        <v>77</v>
      </c>
      <c r="I10" s="354">
        <v>1399</v>
      </c>
      <c r="J10" s="571" t="s">
        <v>25</v>
      </c>
      <c r="K10" s="60">
        <v>1</v>
      </c>
      <c r="L10" s="32"/>
      <c r="M10" s="43" t="s">
        <v>33</v>
      </c>
      <c r="N10" s="33"/>
      <c r="O10" s="33"/>
      <c r="P10" s="354" t="s">
        <v>17</v>
      </c>
    </row>
    <row r="11" spans="1:16" s="5" customFormat="1" ht="54">
      <c r="A11" s="675">
        <v>5</v>
      </c>
      <c r="B11" s="237" t="s">
        <v>75</v>
      </c>
      <c r="C11" s="196" t="s">
        <v>1745</v>
      </c>
      <c r="D11" s="40" t="s">
        <v>320</v>
      </c>
      <c r="E11" s="40" t="s">
        <v>1747</v>
      </c>
      <c r="F11" s="259">
        <v>30000</v>
      </c>
      <c r="G11" s="354" t="s">
        <v>23</v>
      </c>
      <c r="H11" s="354" t="s">
        <v>77</v>
      </c>
      <c r="I11" s="354">
        <v>1399</v>
      </c>
      <c r="J11" s="571" t="s">
        <v>25</v>
      </c>
      <c r="K11" s="60">
        <v>1</v>
      </c>
      <c r="L11" s="32"/>
      <c r="M11" s="43" t="s">
        <v>33</v>
      </c>
      <c r="N11" s="33"/>
      <c r="O11" s="33"/>
      <c r="P11" s="354" t="s">
        <v>17</v>
      </c>
    </row>
    <row r="12" spans="1:16" s="5" customFormat="1" ht="54">
      <c r="A12" s="675">
        <v>6</v>
      </c>
      <c r="B12" s="237" t="s">
        <v>75</v>
      </c>
      <c r="C12" s="196" t="s">
        <v>1745</v>
      </c>
      <c r="D12" s="40" t="s">
        <v>320</v>
      </c>
      <c r="E12" s="40" t="s">
        <v>1748</v>
      </c>
      <c r="F12" s="259">
        <v>100000</v>
      </c>
      <c r="G12" s="354" t="s">
        <v>23</v>
      </c>
      <c r="H12" s="354" t="s">
        <v>77</v>
      </c>
      <c r="I12" s="354">
        <v>1399</v>
      </c>
      <c r="J12" s="571" t="s">
        <v>25</v>
      </c>
      <c r="K12" s="60">
        <v>1</v>
      </c>
      <c r="L12" s="32"/>
      <c r="M12" s="43" t="s">
        <v>33</v>
      </c>
      <c r="N12" s="33"/>
      <c r="O12" s="33"/>
      <c r="P12" s="354"/>
    </row>
    <row r="13" spans="1:16" s="574" customFormat="1" ht="36">
      <c r="A13" s="675">
        <v>7</v>
      </c>
      <c r="B13" s="40" t="s">
        <v>75</v>
      </c>
      <c r="C13" s="196" t="s">
        <v>1749</v>
      </c>
      <c r="D13" s="40" t="s">
        <v>1523</v>
      </c>
      <c r="E13" s="40" t="s">
        <v>1750</v>
      </c>
      <c r="F13" s="259">
        <v>4170388</v>
      </c>
      <c r="G13" s="354" t="s">
        <v>23</v>
      </c>
      <c r="H13" s="354" t="s">
        <v>77</v>
      </c>
      <c r="I13" s="354">
        <v>1399</v>
      </c>
      <c r="J13" s="571" t="s">
        <v>25</v>
      </c>
      <c r="K13" s="60">
        <v>1</v>
      </c>
      <c r="L13" s="32"/>
      <c r="M13" s="43" t="s">
        <v>33</v>
      </c>
      <c r="N13" s="33"/>
      <c r="O13" s="33"/>
      <c r="P13" s="354"/>
    </row>
    <row r="14" spans="1:16" s="574" customFormat="1" ht="36">
      <c r="A14" s="675">
        <v>8</v>
      </c>
      <c r="B14" s="40" t="s">
        <v>75</v>
      </c>
      <c r="C14" s="196" t="s">
        <v>1751</v>
      </c>
      <c r="D14" s="40" t="s">
        <v>1523</v>
      </c>
      <c r="E14" s="40" t="s">
        <v>1752</v>
      </c>
      <c r="F14" s="259">
        <v>16954091</v>
      </c>
      <c r="G14" s="354" t="s">
        <v>23</v>
      </c>
      <c r="H14" s="354" t="s">
        <v>77</v>
      </c>
      <c r="I14" s="354">
        <v>1399</v>
      </c>
      <c r="J14" s="571" t="s">
        <v>25</v>
      </c>
      <c r="K14" s="60">
        <v>1</v>
      </c>
      <c r="L14" s="32"/>
      <c r="M14" s="43" t="s">
        <v>33</v>
      </c>
      <c r="N14" s="33" t="s">
        <v>17</v>
      </c>
      <c r="O14" s="33"/>
      <c r="P14" s="354"/>
    </row>
    <row r="15" spans="1:16" s="26" customFormat="1" ht="53.25" customHeight="1">
      <c r="A15" s="675">
        <v>9</v>
      </c>
      <c r="B15" s="237" t="s">
        <v>75</v>
      </c>
      <c r="C15" s="196" t="s">
        <v>553</v>
      </c>
      <c r="D15" s="40" t="s">
        <v>21</v>
      </c>
      <c r="E15" s="40" t="s">
        <v>117</v>
      </c>
      <c r="F15" s="259">
        <v>1280000</v>
      </c>
      <c r="G15" s="354" t="s">
        <v>23</v>
      </c>
      <c r="H15" s="354" t="s">
        <v>77</v>
      </c>
      <c r="I15" s="354">
        <v>1399</v>
      </c>
      <c r="J15" s="21" t="s">
        <v>25</v>
      </c>
      <c r="K15" s="60">
        <v>1</v>
      </c>
      <c r="L15" s="32"/>
      <c r="M15" s="43" t="s">
        <v>33</v>
      </c>
      <c r="N15" s="33"/>
      <c r="O15" s="33"/>
      <c r="P15" s="354"/>
    </row>
    <row r="16" spans="1:16" s="26" customFormat="1" ht="62.25" customHeight="1">
      <c r="A16" s="675">
        <v>10</v>
      </c>
      <c r="B16" s="237" t="s">
        <v>75</v>
      </c>
      <c r="C16" s="196" t="s">
        <v>184</v>
      </c>
      <c r="D16" s="40" t="s">
        <v>21</v>
      </c>
      <c r="E16" s="40" t="s">
        <v>552</v>
      </c>
      <c r="F16" s="259">
        <v>58000</v>
      </c>
      <c r="G16" s="354" t="s">
        <v>23</v>
      </c>
      <c r="H16" s="354" t="s">
        <v>77</v>
      </c>
      <c r="I16" s="354">
        <v>1399</v>
      </c>
      <c r="J16" s="21" t="s">
        <v>25</v>
      </c>
      <c r="K16" s="60">
        <v>1</v>
      </c>
      <c r="L16" s="43"/>
      <c r="M16" s="43" t="s">
        <v>33</v>
      </c>
      <c r="N16" s="33"/>
      <c r="O16" s="33"/>
      <c r="P16" s="354"/>
    </row>
    <row r="17" spans="1:16" s="26" customFormat="1" ht="58.15" customHeight="1">
      <c r="A17" s="675">
        <v>11</v>
      </c>
      <c r="B17" s="237" t="s">
        <v>75</v>
      </c>
      <c r="C17" s="196" t="s">
        <v>551</v>
      </c>
      <c r="D17" s="40" t="s">
        <v>28</v>
      </c>
      <c r="E17" s="40" t="s">
        <v>207</v>
      </c>
      <c r="F17" s="259">
        <v>8400000</v>
      </c>
      <c r="G17" s="354" t="s">
        <v>23</v>
      </c>
      <c r="H17" s="354" t="s">
        <v>77</v>
      </c>
      <c r="I17" s="354">
        <v>1399</v>
      </c>
      <c r="J17" s="21" t="s">
        <v>25</v>
      </c>
      <c r="K17" s="60">
        <v>1</v>
      </c>
      <c r="L17" s="43"/>
      <c r="M17" s="43" t="s">
        <v>33</v>
      </c>
      <c r="N17" s="33"/>
      <c r="O17" s="33"/>
      <c r="P17" s="354" t="s">
        <v>17</v>
      </c>
    </row>
    <row r="18" spans="1:16" s="26" customFormat="1" ht="109.15" customHeight="1">
      <c r="A18" s="675">
        <v>12</v>
      </c>
      <c r="B18" s="237" t="s">
        <v>75</v>
      </c>
      <c r="C18" s="196" t="s">
        <v>550</v>
      </c>
      <c r="D18" s="40" t="s">
        <v>28</v>
      </c>
      <c r="E18" s="40" t="s">
        <v>29</v>
      </c>
      <c r="F18" s="259">
        <v>135000</v>
      </c>
      <c r="G18" s="354" t="s">
        <v>23</v>
      </c>
      <c r="H18" s="354" t="s">
        <v>77</v>
      </c>
      <c r="I18" s="354">
        <v>1399</v>
      </c>
      <c r="J18" s="21" t="s">
        <v>25</v>
      </c>
      <c r="K18" s="60">
        <v>1</v>
      </c>
      <c r="L18" s="43"/>
      <c r="M18" s="43" t="s">
        <v>33</v>
      </c>
      <c r="N18" s="33"/>
      <c r="O18" s="33"/>
      <c r="P18" s="354" t="s">
        <v>17</v>
      </c>
    </row>
    <row r="19" spans="1:16" s="26" customFormat="1" ht="108">
      <c r="A19" s="675">
        <v>13</v>
      </c>
      <c r="B19" s="237" t="s">
        <v>75</v>
      </c>
      <c r="C19" s="196"/>
      <c r="D19" s="40" t="s">
        <v>28</v>
      </c>
      <c r="E19" s="40" t="s">
        <v>99</v>
      </c>
      <c r="F19" s="259">
        <v>62250</v>
      </c>
      <c r="G19" s="354" t="s">
        <v>23</v>
      </c>
      <c r="H19" s="354" t="s">
        <v>77</v>
      </c>
      <c r="I19" s="354">
        <v>1399</v>
      </c>
      <c r="J19" s="21" t="s">
        <v>25</v>
      </c>
      <c r="K19" s="60" t="s">
        <v>17</v>
      </c>
      <c r="L19" s="43" t="s">
        <v>3</v>
      </c>
      <c r="M19" s="43"/>
      <c r="N19" s="335" t="s">
        <v>991</v>
      </c>
      <c r="O19" s="368" t="s">
        <v>992</v>
      </c>
      <c r="P19" s="354"/>
    </row>
    <row r="20" spans="1:16" s="26" customFormat="1" ht="57" customHeight="1">
      <c r="A20" s="675">
        <v>14</v>
      </c>
      <c r="B20" s="237" t="s">
        <v>75</v>
      </c>
      <c r="C20" s="196" t="s">
        <v>549</v>
      </c>
      <c r="D20" s="40" t="s">
        <v>31</v>
      </c>
      <c r="E20" s="40" t="s">
        <v>80</v>
      </c>
      <c r="F20" s="259">
        <v>527000</v>
      </c>
      <c r="G20" s="354" t="s">
        <v>23</v>
      </c>
      <c r="H20" s="354" t="s">
        <v>77</v>
      </c>
      <c r="I20" s="354">
        <v>1399</v>
      </c>
      <c r="J20" s="21" t="s">
        <v>25</v>
      </c>
      <c r="K20" s="60">
        <v>1</v>
      </c>
      <c r="L20" s="43"/>
      <c r="M20" s="43" t="s">
        <v>33</v>
      </c>
      <c r="N20" s="33"/>
      <c r="O20" s="33"/>
      <c r="P20" s="354"/>
    </row>
    <row r="21" spans="1:16" s="26" customFormat="1" ht="55.15" customHeight="1">
      <c r="A21" s="675">
        <v>15</v>
      </c>
      <c r="B21" s="237" t="s">
        <v>75</v>
      </c>
      <c r="C21" s="196" t="s">
        <v>548</v>
      </c>
      <c r="D21" s="40" t="s">
        <v>31</v>
      </c>
      <c r="E21" s="40" t="s">
        <v>34</v>
      </c>
      <c r="F21" s="259">
        <v>403362</v>
      </c>
      <c r="G21" s="354" t="s">
        <v>23</v>
      </c>
      <c r="H21" s="354" t="s">
        <v>77</v>
      </c>
      <c r="I21" s="354">
        <v>1399</v>
      </c>
      <c r="J21" s="21" t="s">
        <v>25</v>
      </c>
      <c r="K21" s="60">
        <v>1</v>
      </c>
      <c r="L21" s="43"/>
      <c r="M21" s="43" t="s">
        <v>387</v>
      </c>
      <c r="N21" s="33"/>
      <c r="O21" s="33"/>
      <c r="P21" s="354"/>
    </row>
    <row r="22" spans="1:16" s="26" customFormat="1" ht="54">
      <c r="A22" s="675">
        <v>16</v>
      </c>
      <c r="B22" s="237" t="s">
        <v>75</v>
      </c>
      <c r="C22" s="196" t="s">
        <v>184</v>
      </c>
      <c r="D22" s="40" t="s">
        <v>31</v>
      </c>
      <c r="E22" s="40" t="s">
        <v>547</v>
      </c>
      <c r="F22" s="259">
        <v>4000000</v>
      </c>
      <c r="G22" s="354" t="s">
        <v>23</v>
      </c>
      <c r="H22" s="354" t="s">
        <v>77</v>
      </c>
      <c r="I22" s="354">
        <v>1399</v>
      </c>
      <c r="J22" s="21" t="s">
        <v>25</v>
      </c>
      <c r="K22" s="60">
        <v>1</v>
      </c>
      <c r="L22" s="43"/>
      <c r="M22" s="43" t="s">
        <v>387</v>
      </c>
      <c r="N22" s="33"/>
      <c r="O22" s="33"/>
      <c r="P22" s="354"/>
    </row>
    <row r="23" spans="1:16" s="26" customFormat="1" ht="54">
      <c r="A23" s="675">
        <v>17</v>
      </c>
      <c r="B23" s="237" t="s">
        <v>75</v>
      </c>
      <c r="C23" s="196" t="s">
        <v>546</v>
      </c>
      <c r="D23" s="40" t="s">
        <v>31</v>
      </c>
      <c r="E23" s="40" t="s">
        <v>32</v>
      </c>
      <c r="F23" s="259">
        <v>344120</v>
      </c>
      <c r="G23" s="354" t="s">
        <v>23</v>
      </c>
      <c r="H23" s="354" t="s">
        <v>77</v>
      </c>
      <c r="I23" s="354">
        <v>1399</v>
      </c>
      <c r="J23" s="21" t="s">
        <v>25</v>
      </c>
      <c r="K23" s="60">
        <v>1</v>
      </c>
      <c r="L23" s="43"/>
      <c r="M23" s="43" t="s">
        <v>33</v>
      </c>
      <c r="N23" s="33"/>
      <c r="O23" s="33"/>
      <c r="P23" s="354"/>
    </row>
    <row r="24" spans="1:16" s="26" customFormat="1" ht="72">
      <c r="A24" s="675">
        <v>18</v>
      </c>
      <c r="B24" s="237" t="s">
        <v>75</v>
      </c>
      <c r="C24" s="196" t="s">
        <v>545</v>
      </c>
      <c r="D24" s="40" t="s">
        <v>31</v>
      </c>
      <c r="E24" s="40" t="s">
        <v>483</v>
      </c>
      <c r="F24" s="259">
        <v>356000</v>
      </c>
      <c r="G24" s="354" t="s">
        <v>23</v>
      </c>
      <c r="H24" s="354" t="s">
        <v>77</v>
      </c>
      <c r="I24" s="354">
        <v>1399</v>
      </c>
      <c r="J24" s="21" t="s">
        <v>25</v>
      </c>
      <c r="K24" s="60">
        <v>1</v>
      </c>
      <c r="L24" s="43"/>
      <c r="M24" s="43" t="s">
        <v>33</v>
      </c>
      <c r="N24" s="33"/>
      <c r="O24" s="33"/>
      <c r="P24" s="354"/>
    </row>
    <row r="25" spans="1:16" s="26" customFormat="1" ht="141" customHeight="1">
      <c r="A25" s="675">
        <v>19</v>
      </c>
      <c r="B25" s="237" t="s">
        <v>20</v>
      </c>
      <c r="C25" s="196" t="s">
        <v>544</v>
      </c>
      <c r="D25" s="40" t="s">
        <v>55</v>
      </c>
      <c r="E25" s="40" t="s">
        <v>543</v>
      </c>
      <c r="F25" s="259">
        <v>136700</v>
      </c>
      <c r="G25" s="354" t="s">
        <v>23</v>
      </c>
      <c r="H25" s="354" t="s">
        <v>24</v>
      </c>
      <c r="I25" s="354">
        <v>1399</v>
      </c>
      <c r="J25" s="21" t="s">
        <v>25</v>
      </c>
      <c r="K25" s="60">
        <v>1</v>
      </c>
      <c r="L25" s="43"/>
      <c r="M25" s="43" t="s">
        <v>33</v>
      </c>
      <c r="N25" s="33"/>
      <c r="O25" s="33"/>
      <c r="P25" s="354"/>
    </row>
    <row r="26" spans="1:16" s="34" customFormat="1" ht="85.5" customHeight="1">
      <c r="A26" s="675">
        <v>20</v>
      </c>
      <c r="B26" s="237" t="s">
        <v>75</v>
      </c>
      <c r="C26" s="196" t="s">
        <v>529</v>
      </c>
      <c r="D26" s="40" t="s">
        <v>40</v>
      </c>
      <c r="E26" s="40" t="s">
        <v>343</v>
      </c>
      <c r="F26" s="259">
        <f>2*1413600</f>
        <v>2827200</v>
      </c>
      <c r="G26" s="354" t="s">
        <v>23</v>
      </c>
      <c r="H26" s="354" t="s">
        <v>41</v>
      </c>
      <c r="I26" s="354">
        <v>1399</v>
      </c>
      <c r="J26" s="21" t="s">
        <v>25</v>
      </c>
      <c r="K26" s="60">
        <v>1</v>
      </c>
      <c r="L26" s="43"/>
      <c r="M26" s="43" t="s">
        <v>33</v>
      </c>
      <c r="N26" s="33"/>
      <c r="O26" s="33"/>
      <c r="P26" s="354"/>
    </row>
    <row r="27" spans="1:16" s="34" customFormat="1" ht="36">
      <c r="A27" s="675">
        <v>21</v>
      </c>
      <c r="B27" s="237" t="s">
        <v>75</v>
      </c>
      <c r="C27" s="196" t="s">
        <v>541</v>
      </c>
      <c r="D27" s="40" t="s">
        <v>40</v>
      </c>
      <c r="E27" s="40" t="s">
        <v>542</v>
      </c>
      <c r="F27" s="259">
        <f>220* 58032</f>
        <v>12767040</v>
      </c>
      <c r="G27" s="354" t="s">
        <v>23</v>
      </c>
      <c r="H27" s="354" t="s">
        <v>41</v>
      </c>
      <c r="I27" s="354">
        <v>1399</v>
      </c>
      <c r="J27" s="21" t="s">
        <v>25</v>
      </c>
      <c r="K27" s="60">
        <v>1</v>
      </c>
      <c r="L27" s="43"/>
      <c r="M27" s="43" t="s">
        <v>33</v>
      </c>
      <c r="N27" s="33"/>
      <c r="O27" s="33"/>
      <c r="P27" s="354"/>
    </row>
    <row r="28" spans="1:16" s="34" customFormat="1" ht="87.6" customHeight="1">
      <c r="A28" s="675">
        <v>22</v>
      </c>
      <c r="B28" s="237" t="s">
        <v>75</v>
      </c>
      <c r="C28" s="196" t="s">
        <v>541</v>
      </c>
      <c r="D28" s="40" t="s">
        <v>40</v>
      </c>
      <c r="E28" s="40" t="s">
        <v>513</v>
      </c>
      <c r="F28" s="259" t="s">
        <v>17</v>
      </c>
      <c r="G28" s="354" t="s">
        <v>17</v>
      </c>
      <c r="H28" s="354" t="s">
        <v>17</v>
      </c>
      <c r="I28" s="354">
        <v>1399</v>
      </c>
      <c r="J28" s="21" t="s">
        <v>25</v>
      </c>
      <c r="K28" s="60">
        <v>1</v>
      </c>
      <c r="L28" s="43"/>
      <c r="M28" s="43" t="s">
        <v>33</v>
      </c>
      <c r="N28" s="33"/>
      <c r="O28" s="33"/>
      <c r="P28" s="6" t="s">
        <v>83</v>
      </c>
    </row>
    <row r="29" spans="1:16" s="34" customFormat="1" ht="90">
      <c r="A29" s="675">
        <v>23</v>
      </c>
      <c r="B29" s="237" t="s">
        <v>75</v>
      </c>
      <c r="C29" s="196"/>
      <c r="D29" s="40" t="s">
        <v>40</v>
      </c>
      <c r="E29" s="40" t="s">
        <v>540</v>
      </c>
      <c r="F29" s="184">
        <f>3* 848904</f>
        <v>2546712</v>
      </c>
      <c r="G29" s="354" t="s">
        <v>23</v>
      </c>
      <c r="H29" s="354" t="s">
        <v>41</v>
      </c>
      <c r="I29" s="354">
        <v>1399</v>
      </c>
      <c r="J29" s="21" t="s">
        <v>25</v>
      </c>
      <c r="K29" s="60">
        <v>1</v>
      </c>
      <c r="L29" s="43" t="s">
        <v>1828</v>
      </c>
      <c r="M29" s="43" t="s">
        <v>33</v>
      </c>
      <c r="N29" s="454" t="s">
        <v>325</v>
      </c>
      <c r="O29" s="22" t="s">
        <v>959</v>
      </c>
      <c r="P29" s="354"/>
    </row>
    <row r="30" spans="1:16" s="34" customFormat="1" ht="90">
      <c r="A30" s="675">
        <v>24</v>
      </c>
      <c r="B30" s="237" t="s">
        <v>75</v>
      </c>
      <c r="C30" s="196"/>
      <c r="D30" s="40" t="s">
        <v>40</v>
      </c>
      <c r="E30" s="40" t="s">
        <v>44</v>
      </c>
      <c r="F30" s="184">
        <f>8* 102300</f>
        <v>818400</v>
      </c>
      <c r="G30" s="354" t="s">
        <v>23</v>
      </c>
      <c r="H30" s="354" t="s">
        <v>41</v>
      </c>
      <c r="I30" s="354">
        <v>1399</v>
      </c>
      <c r="J30" s="21" t="s">
        <v>25</v>
      </c>
      <c r="K30" s="60">
        <v>1</v>
      </c>
      <c r="L30" s="43" t="s">
        <v>1828</v>
      </c>
      <c r="M30" s="43" t="s">
        <v>33</v>
      </c>
      <c r="N30" s="454" t="s">
        <v>325</v>
      </c>
      <c r="O30" s="22" t="s">
        <v>959</v>
      </c>
      <c r="P30" s="354"/>
    </row>
    <row r="31" spans="1:16" s="34" customFormat="1" ht="90">
      <c r="A31" s="675">
        <v>25</v>
      </c>
      <c r="B31" s="237" t="s">
        <v>75</v>
      </c>
      <c r="C31" s="196"/>
      <c r="D31" s="40" t="s">
        <v>40</v>
      </c>
      <c r="E31" s="40" t="s">
        <v>491</v>
      </c>
      <c r="F31" s="657">
        <f>8*68634</f>
        <v>549072</v>
      </c>
      <c r="G31" s="354" t="s">
        <v>23</v>
      </c>
      <c r="H31" s="354" t="s">
        <v>41</v>
      </c>
      <c r="I31" s="354">
        <v>1399</v>
      </c>
      <c r="J31" s="21" t="s">
        <v>25</v>
      </c>
      <c r="K31" s="60">
        <v>1</v>
      </c>
      <c r="L31" s="43" t="s">
        <v>1828</v>
      </c>
      <c r="M31" s="43" t="s">
        <v>33</v>
      </c>
      <c r="N31" s="454" t="s">
        <v>325</v>
      </c>
      <c r="O31" s="22" t="s">
        <v>959</v>
      </c>
      <c r="P31" s="354"/>
    </row>
    <row r="32" spans="1:16" s="34" customFormat="1" ht="90">
      <c r="A32" s="675">
        <v>26</v>
      </c>
      <c r="B32" s="237" t="s">
        <v>75</v>
      </c>
      <c r="C32" s="196"/>
      <c r="D32" s="40" t="s">
        <v>40</v>
      </c>
      <c r="E32" s="40" t="s">
        <v>539</v>
      </c>
      <c r="F32" s="184">
        <f>10* 223200</f>
        <v>2232000</v>
      </c>
      <c r="G32" s="354" t="s">
        <v>23</v>
      </c>
      <c r="H32" s="354" t="s">
        <v>41</v>
      </c>
      <c r="I32" s="354">
        <v>1399</v>
      </c>
      <c r="J32" s="21" t="s">
        <v>25</v>
      </c>
      <c r="K32" s="60">
        <v>1</v>
      </c>
      <c r="L32" s="43" t="s">
        <v>1828</v>
      </c>
      <c r="M32" s="43" t="s">
        <v>33</v>
      </c>
      <c r="N32" s="454" t="s">
        <v>325</v>
      </c>
      <c r="O32" s="22" t="s">
        <v>959</v>
      </c>
      <c r="P32" s="354"/>
    </row>
    <row r="33" spans="1:16" s="34" customFormat="1" ht="90">
      <c r="A33" s="675">
        <v>27</v>
      </c>
      <c r="B33" s="237" t="s">
        <v>75</v>
      </c>
      <c r="C33" s="196"/>
      <c r="D33" s="40" t="s">
        <v>40</v>
      </c>
      <c r="E33" s="40" t="s">
        <v>443</v>
      </c>
      <c r="F33" s="184">
        <f>5* 304452</f>
        <v>1522260</v>
      </c>
      <c r="G33" s="354" t="s">
        <v>23</v>
      </c>
      <c r="H33" s="354" t="s">
        <v>41</v>
      </c>
      <c r="I33" s="354">
        <v>1399</v>
      </c>
      <c r="J33" s="21" t="s">
        <v>25</v>
      </c>
      <c r="K33" s="60">
        <v>1</v>
      </c>
      <c r="L33" s="43" t="s">
        <v>1828</v>
      </c>
      <c r="M33" s="43" t="s">
        <v>33</v>
      </c>
      <c r="N33" s="454" t="s">
        <v>325</v>
      </c>
      <c r="O33" s="22" t="s">
        <v>959</v>
      </c>
      <c r="P33" s="354"/>
    </row>
    <row r="34" spans="1:16" s="34" customFormat="1" ht="90">
      <c r="A34" s="675">
        <v>28</v>
      </c>
      <c r="B34" s="237" t="s">
        <v>75</v>
      </c>
      <c r="C34" s="196" t="s">
        <v>529</v>
      </c>
      <c r="D34" s="40" t="s">
        <v>40</v>
      </c>
      <c r="E34" s="40" t="s">
        <v>538</v>
      </c>
      <c r="F34" s="184">
        <f>2250* 148</f>
        <v>333000</v>
      </c>
      <c r="G34" s="354" t="s">
        <v>23</v>
      </c>
      <c r="H34" s="354" t="s">
        <v>41</v>
      </c>
      <c r="I34" s="354">
        <v>1399</v>
      </c>
      <c r="J34" s="21" t="s">
        <v>25</v>
      </c>
      <c r="K34" s="60">
        <v>1</v>
      </c>
      <c r="L34" s="43" t="s">
        <v>1828</v>
      </c>
      <c r="M34" s="43" t="s">
        <v>33</v>
      </c>
      <c r="N34" s="454" t="s">
        <v>325</v>
      </c>
      <c r="O34" s="22" t="s">
        <v>959</v>
      </c>
      <c r="P34" s="354"/>
    </row>
    <row r="35" spans="1:16" s="34" customFormat="1" ht="90">
      <c r="A35" s="675">
        <v>29</v>
      </c>
      <c r="B35" s="237" t="s">
        <v>75</v>
      </c>
      <c r="C35" s="196"/>
      <c r="D35" s="40" t="s">
        <v>40</v>
      </c>
      <c r="E35" s="40" t="s">
        <v>166</v>
      </c>
      <c r="F35" s="184">
        <f>3*375000</f>
        <v>1125000</v>
      </c>
      <c r="G35" s="354" t="s">
        <v>23</v>
      </c>
      <c r="H35" s="354" t="s">
        <v>41</v>
      </c>
      <c r="I35" s="354">
        <v>1399</v>
      </c>
      <c r="J35" s="21" t="s">
        <v>25</v>
      </c>
      <c r="K35" s="60">
        <v>1</v>
      </c>
      <c r="L35" s="43" t="s">
        <v>1828</v>
      </c>
      <c r="M35" s="43" t="s">
        <v>33</v>
      </c>
      <c r="N35" s="454" t="s">
        <v>325</v>
      </c>
      <c r="O35" s="22" t="s">
        <v>959</v>
      </c>
      <c r="P35" s="354"/>
    </row>
    <row r="36" spans="1:16" s="34" customFormat="1" ht="36">
      <c r="A36" s="675">
        <v>30</v>
      </c>
      <c r="B36" s="237" t="s">
        <v>75</v>
      </c>
      <c r="C36" s="196" t="s">
        <v>537</v>
      </c>
      <c r="D36" s="40" t="s">
        <v>40</v>
      </c>
      <c r="E36" s="40" t="s">
        <v>536</v>
      </c>
      <c r="F36" s="259">
        <v>372000</v>
      </c>
      <c r="G36" s="354" t="s">
        <v>23</v>
      </c>
      <c r="H36" s="354" t="s">
        <v>41</v>
      </c>
      <c r="I36" s="354">
        <v>1399</v>
      </c>
      <c r="J36" s="21" t="s">
        <v>25</v>
      </c>
      <c r="K36" s="60">
        <v>1</v>
      </c>
      <c r="L36" s="43"/>
      <c r="M36" s="43" t="s">
        <v>33</v>
      </c>
      <c r="N36" s="33"/>
      <c r="O36" s="33"/>
      <c r="P36" s="354"/>
    </row>
    <row r="37" spans="1:16" s="34" customFormat="1" ht="36">
      <c r="A37" s="675">
        <v>31</v>
      </c>
      <c r="B37" s="237" t="s">
        <v>75</v>
      </c>
      <c r="C37" s="196" t="s">
        <v>529</v>
      </c>
      <c r="D37" s="40" t="s">
        <v>40</v>
      </c>
      <c r="E37" s="40" t="s">
        <v>535</v>
      </c>
      <c r="F37" s="259">
        <f>50*22320</f>
        <v>1116000</v>
      </c>
      <c r="G37" s="354" t="s">
        <v>23</v>
      </c>
      <c r="H37" s="354" t="s">
        <v>41</v>
      </c>
      <c r="I37" s="354">
        <v>1399</v>
      </c>
      <c r="J37" s="21" t="s">
        <v>25</v>
      </c>
      <c r="K37" s="60">
        <v>1</v>
      </c>
      <c r="L37" s="43"/>
      <c r="M37" s="43" t="s">
        <v>33</v>
      </c>
      <c r="N37" s="33"/>
      <c r="O37" s="33"/>
      <c r="P37" s="354"/>
    </row>
    <row r="38" spans="1:16" s="34" customFormat="1" ht="54">
      <c r="A38" s="675">
        <v>32</v>
      </c>
      <c r="B38" s="237" t="s">
        <v>75</v>
      </c>
      <c r="C38" s="196" t="s">
        <v>529</v>
      </c>
      <c r="D38" s="40" t="s">
        <v>40</v>
      </c>
      <c r="E38" s="40" t="s">
        <v>534</v>
      </c>
      <c r="F38" s="259">
        <f>3* 297600</f>
        <v>892800</v>
      </c>
      <c r="G38" s="354" t="s">
        <v>23</v>
      </c>
      <c r="H38" s="354" t="s">
        <v>41</v>
      </c>
      <c r="I38" s="354">
        <v>1399</v>
      </c>
      <c r="J38" s="21" t="s">
        <v>25</v>
      </c>
      <c r="K38" s="60">
        <v>1</v>
      </c>
      <c r="L38" s="43"/>
      <c r="M38" s="43" t="s">
        <v>33</v>
      </c>
      <c r="N38" s="33"/>
      <c r="O38" s="33"/>
      <c r="P38" s="354"/>
    </row>
    <row r="39" spans="1:16" s="34" customFormat="1" ht="90">
      <c r="A39" s="675">
        <v>33</v>
      </c>
      <c r="B39" s="237" t="s">
        <v>75</v>
      </c>
      <c r="C39" s="196"/>
      <c r="D39" s="40" t="s">
        <v>40</v>
      </c>
      <c r="E39" s="40" t="s">
        <v>533</v>
      </c>
      <c r="F39" s="184">
        <f>10* 3645</f>
        <v>36450</v>
      </c>
      <c r="G39" s="354" t="s">
        <v>23</v>
      </c>
      <c r="H39" s="354" t="s">
        <v>41</v>
      </c>
      <c r="I39" s="354">
        <v>1399</v>
      </c>
      <c r="J39" s="21" t="s">
        <v>25</v>
      </c>
      <c r="K39" s="60">
        <v>1</v>
      </c>
      <c r="L39" s="43" t="s">
        <v>1828</v>
      </c>
      <c r="M39" s="43" t="s">
        <v>33</v>
      </c>
      <c r="N39" s="454" t="s">
        <v>325</v>
      </c>
      <c r="O39" s="22" t="s">
        <v>959</v>
      </c>
      <c r="P39" s="354"/>
    </row>
    <row r="40" spans="1:16" s="34" customFormat="1" ht="90">
      <c r="A40" s="675">
        <v>34</v>
      </c>
      <c r="B40" s="237" t="s">
        <v>75</v>
      </c>
      <c r="C40" s="196"/>
      <c r="D40" s="40" t="s">
        <v>40</v>
      </c>
      <c r="E40" s="40" t="s">
        <v>211</v>
      </c>
      <c r="F40" s="184">
        <v>44640</v>
      </c>
      <c r="G40" s="354" t="s">
        <v>23</v>
      </c>
      <c r="H40" s="354" t="s">
        <v>41</v>
      </c>
      <c r="I40" s="354">
        <v>1399</v>
      </c>
      <c r="J40" s="21" t="s">
        <v>25</v>
      </c>
      <c r="K40" s="60">
        <v>1</v>
      </c>
      <c r="L40" s="43" t="s">
        <v>1828</v>
      </c>
      <c r="M40" s="43" t="s">
        <v>33</v>
      </c>
      <c r="N40" s="454" t="s">
        <v>325</v>
      </c>
      <c r="O40" s="22" t="s">
        <v>959</v>
      </c>
      <c r="P40" s="354"/>
    </row>
    <row r="41" spans="1:16" s="34" customFormat="1" ht="90">
      <c r="A41" s="675">
        <v>35</v>
      </c>
      <c r="B41" s="237" t="s">
        <v>75</v>
      </c>
      <c r="C41" s="196"/>
      <c r="D41" s="40" t="s">
        <v>40</v>
      </c>
      <c r="E41" s="40" t="s">
        <v>89</v>
      </c>
      <c r="F41" s="184">
        <f>10* 52471</f>
        <v>524710</v>
      </c>
      <c r="G41" s="354" t="s">
        <v>23</v>
      </c>
      <c r="H41" s="354" t="s">
        <v>41</v>
      </c>
      <c r="I41" s="354">
        <v>1399</v>
      </c>
      <c r="J41" s="21" t="s">
        <v>25</v>
      </c>
      <c r="K41" s="60">
        <v>1</v>
      </c>
      <c r="L41" s="43" t="s">
        <v>1828</v>
      </c>
      <c r="M41" s="43" t="s">
        <v>33</v>
      </c>
      <c r="N41" s="454" t="s">
        <v>325</v>
      </c>
      <c r="O41" s="22" t="s">
        <v>959</v>
      </c>
      <c r="P41" s="354"/>
    </row>
    <row r="42" spans="1:16" s="34" customFormat="1" ht="36">
      <c r="A42" s="675">
        <v>36</v>
      </c>
      <c r="B42" s="237" t="s">
        <v>75</v>
      </c>
      <c r="C42" s="196"/>
      <c r="D42" s="40" t="s">
        <v>40</v>
      </c>
      <c r="E42" s="40" t="s">
        <v>413</v>
      </c>
      <c r="F42" s="259">
        <f>200* 1518</f>
        <v>303600</v>
      </c>
      <c r="G42" s="354" t="s">
        <v>23</v>
      </c>
      <c r="H42" s="354" t="s">
        <v>41</v>
      </c>
      <c r="I42" s="354">
        <v>1399</v>
      </c>
      <c r="J42" s="21" t="s">
        <v>25</v>
      </c>
      <c r="K42" s="60">
        <v>1</v>
      </c>
      <c r="L42" s="43"/>
      <c r="M42" s="43" t="s">
        <v>33</v>
      </c>
      <c r="N42" s="33"/>
      <c r="O42" s="33"/>
      <c r="P42" s="354"/>
    </row>
    <row r="43" spans="1:16" s="34" customFormat="1" ht="36">
      <c r="A43" s="675">
        <v>37</v>
      </c>
      <c r="B43" s="237" t="s">
        <v>75</v>
      </c>
      <c r="C43" s="196"/>
      <c r="D43" s="40" t="s">
        <v>40</v>
      </c>
      <c r="E43" s="40" t="s">
        <v>247</v>
      </c>
      <c r="F43" s="259">
        <f>3* 42514</f>
        <v>127542</v>
      </c>
      <c r="G43" s="354" t="s">
        <v>23</v>
      </c>
      <c r="H43" s="354" t="s">
        <v>41</v>
      </c>
      <c r="I43" s="354">
        <v>1399</v>
      </c>
      <c r="J43" s="21" t="s">
        <v>25</v>
      </c>
      <c r="K43" s="60">
        <v>1</v>
      </c>
      <c r="L43" s="43"/>
      <c r="M43" s="43" t="s">
        <v>33</v>
      </c>
      <c r="N43" s="33"/>
      <c r="O43" s="33"/>
      <c r="P43" s="354" t="s">
        <v>17</v>
      </c>
    </row>
    <row r="44" spans="1:16" s="34" customFormat="1" ht="72">
      <c r="A44" s="675">
        <v>38</v>
      </c>
      <c r="B44" s="237" t="s">
        <v>75</v>
      </c>
      <c r="C44" s="196"/>
      <c r="D44" s="40" t="s">
        <v>40</v>
      </c>
      <c r="E44" s="40" t="s">
        <v>49</v>
      </c>
      <c r="F44" s="184">
        <f>150* 1041</f>
        <v>156150</v>
      </c>
      <c r="G44" s="354" t="s">
        <v>23</v>
      </c>
      <c r="H44" s="354" t="s">
        <v>41</v>
      </c>
      <c r="I44" s="354">
        <v>1399</v>
      </c>
      <c r="J44" s="21" t="s">
        <v>25</v>
      </c>
      <c r="K44" s="60">
        <v>1</v>
      </c>
      <c r="L44" s="43" t="s">
        <v>1828</v>
      </c>
      <c r="M44" s="43" t="s">
        <v>33</v>
      </c>
      <c r="N44" s="368" t="s">
        <v>519</v>
      </c>
      <c r="O44" s="22" t="s">
        <v>959</v>
      </c>
      <c r="P44" s="354"/>
    </row>
    <row r="45" spans="1:16" s="34" customFormat="1" ht="72">
      <c r="A45" s="675">
        <v>39</v>
      </c>
      <c r="B45" s="237" t="s">
        <v>75</v>
      </c>
      <c r="C45" s="196"/>
      <c r="D45" s="40" t="s">
        <v>40</v>
      </c>
      <c r="E45" s="40" t="s">
        <v>92</v>
      </c>
      <c r="F45" s="184">
        <f>150* 729</f>
        <v>109350</v>
      </c>
      <c r="G45" s="354" t="s">
        <v>23</v>
      </c>
      <c r="H45" s="354" t="s">
        <v>41</v>
      </c>
      <c r="I45" s="354">
        <v>1399</v>
      </c>
      <c r="J45" s="21" t="s">
        <v>25</v>
      </c>
      <c r="K45" s="60">
        <v>1</v>
      </c>
      <c r="L45" s="43" t="s">
        <v>1828</v>
      </c>
      <c r="M45" s="43" t="s">
        <v>33</v>
      </c>
      <c r="N45" s="368" t="s">
        <v>519</v>
      </c>
      <c r="O45" s="22" t="s">
        <v>959</v>
      </c>
      <c r="P45" s="354"/>
    </row>
    <row r="46" spans="1:16" s="34" customFormat="1" ht="72">
      <c r="A46" s="675">
        <v>40</v>
      </c>
      <c r="B46" s="237" t="s">
        <v>75</v>
      </c>
      <c r="C46" s="196"/>
      <c r="D46" s="40" t="s">
        <v>40</v>
      </c>
      <c r="E46" s="40" t="s">
        <v>103</v>
      </c>
      <c r="F46" s="184">
        <f>150*911</f>
        <v>136650</v>
      </c>
      <c r="G46" s="354" t="s">
        <v>23</v>
      </c>
      <c r="H46" s="354" t="s">
        <v>41</v>
      </c>
      <c r="I46" s="354">
        <v>1399</v>
      </c>
      <c r="J46" s="21" t="s">
        <v>25</v>
      </c>
      <c r="K46" s="60">
        <v>1</v>
      </c>
      <c r="L46" s="43" t="s">
        <v>1828</v>
      </c>
      <c r="M46" s="43" t="s">
        <v>33</v>
      </c>
      <c r="N46" s="368" t="s">
        <v>519</v>
      </c>
      <c r="O46" s="22" t="s">
        <v>959</v>
      </c>
      <c r="P46" s="354"/>
    </row>
    <row r="47" spans="1:16" s="34" customFormat="1" ht="36">
      <c r="A47" s="675">
        <v>41</v>
      </c>
      <c r="B47" s="237" t="s">
        <v>75</v>
      </c>
      <c r="C47" s="196" t="s">
        <v>532</v>
      </c>
      <c r="D47" s="40" t="s">
        <v>40</v>
      </c>
      <c r="E47" s="40" t="s">
        <v>439</v>
      </c>
      <c r="F47" s="259">
        <f>800* 315</f>
        <v>252000</v>
      </c>
      <c r="G47" s="354" t="s">
        <v>23</v>
      </c>
      <c r="H47" s="354" t="s">
        <v>41</v>
      </c>
      <c r="I47" s="354">
        <v>1399</v>
      </c>
      <c r="J47" s="21" t="s">
        <v>25</v>
      </c>
      <c r="K47" s="60">
        <v>1</v>
      </c>
      <c r="L47" s="43"/>
      <c r="M47" s="43" t="s">
        <v>33</v>
      </c>
      <c r="N47" s="33"/>
      <c r="O47" s="33"/>
      <c r="P47" s="354"/>
    </row>
    <row r="48" spans="1:16" s="34" customFormat="1" ht="90">
      <c r="A48" s="675">
        <v>42</v>
      </c>
      <c r="B48" s="237" t="s">
        <v>75</v>
      </c>
      <c r="C48" s="196"/>
      <c r="D48" s="40" t="s">
        <v>40</v>
      </c>
      <c r="E48" s="40" t="s">
        <v>50</v>
      </c>
      <c r="F48" s="184">
        <f>5* 45570</f>
        <v>227850</v>
      </c>
      <c r="G48" s="354" t="s">
        <v>23</v>
      </c>
      <c r="H48" s="354" t="s">
        <v>41</v>
      </c>
      <c r="I48" s="354">
        <v>1399</v>
      </c>
      <c r="J48" s="21" t="s">
        <v>25</v>
      </c>
      <c r="K48" s="60">
        <v>1</v>
      </c>
      <c r="L48" s="43" t="s">
        <v>1828</v>
      </c>
      <c r="M48" s="43" t="s">
        <v>33</v>
      </c>
      <c r="N48" s="454" t="s">
        <v>325</v>
      </c>
      <c r="O48" s="22" t="s">
        <v>959</v>
      </c>
      <c r="P48" s="354"/>
    </row>
    <row r="49" spans="1:16" s="34" customFormat="1" ht="90">
      <c r="A49" s="675">
        <v>43</v>
      </c>
      <c r="B49" s="237" t="s">
        <v>75</v>
      </c>
      <c r="C49" s="196"/>
      <c r="D49" s="40" t="s">
        <v>40</v>
      </c>
      <c r="E49" s="40" t="s">
        <v>531</v>
      </c>
      <c r="F49" s="184">
        <f>15* 10416</f>
        <v>156240</v>
      </c>
      <c r="G49" s="354" t="s">
        <v>23</v>
      </c>
      <c r="H49" s="354" t="s">
        <v>41</v>
      </c>
      <c r="I49" s="354">
        <v>1399</v>
      </c>
      <c r="J49" s="21" t="s">
        <v>25</v>
      </c>
      <c r="K49" s="60">
        <v>1</v>
      </c>
      <c r="L49" s="43" t="s">
        <v>1828</v>
      </c>
      <c r="M49" s="43" t="s">
        <v>33</v>
      </c>
      <c r="N49" s="454" t="s">
        <v>325</v>
      </c>
      <c r="O49" s="22" t="s">
        <v>959</v>
      </c>
      <c r="P49" s="354"/>
    </row>
    <row r="50" spans="1:16" s="34" customFormat="1" ht="90">
      <c r="A50" s="675">
        <v>44</v>
      </c>
      <c r="B50" s="237" t="s">
        <v>75</v>
      </c>
      <c r="C50" s="196"/>
      <c r="D50" s="40" t="s">
        <v>40</v>
      </c>
      <c r="E50" s="40" t="s">
        <v>104</v>
      </c>
      <c r="F50" s="184">
        <f>10*36456</f>
        <v>364560</v>
      </c>
      <c r="G50" s="354" t="s">
        <v>23</v>
      </c>
      <c r="H50" s="354" t="s">
        <v>41</v>
      </c>
      <c r="I50" s="354">
        <v>1399</v>
      </c>
      <c r="J50" s="21" t="s">
        <v>25</v>
      </c>
      <c r="K50" s="60">
        <v>1</v>
      </c>
      <c r="L50" s="43" t="s">
        <v>1828</v>
      </c>
      <c r="M50" s="43" t="s">
        <v>33</v>
      </c>
      <c r="N50" s="454" t="s">
        <v>325</v>
      </c>
      <c r="O50" s="22" t="s">
        <v>959</v>
      </c>
      <c r="P50" s="354"/>
    </row>
    <row r="51" spans="1:16" s="34" customFormat="1" ht="90">
      <c r="A51" s="675">
        <v>45</v>
      </c>
      <c r="B51" s="237" t="s">
        <v>75</v>
      </c>
      <c r="C51" s="196"/>
      <c r="D51" s="40" t="s">
        <v>40</v>
      </c>
      <c r="E51" s="40" t="s">
        <v>126</v>
      </c>
      <c r="F51" s="184">
        <f>2*396797</f>
        <v>793594</v>
      </c>
      <c r="G51" s="354" t="s">
        <v>23</v>
      </c>
      <c r="H51" s="354" t="s">
        <v>41</v>
      </c>
      <c r="I51" s="354">
        <v>1399</v>
      </c>
      <c r="J51" s="21" t="s">
        <v>25</v>
      </c>
      <c r="K51" s="60">
        <v>1</v>
      </c>
      <c r="L51" s="43" t="s">
        <v>1828</v>
      </c>
      <c r="M51" s="43" t="s">
        <v>33</v>
      </c>
      <c r="N51" s="454" t="s">
        <v>325</v>
      </c>
      <c r="O51" s="22" t="s">
        <v>959</v>
      </c>
      <c r="P51" s="354"/>
    </row>
    <row r="52" spans="1:16" s="34" customFormat="1" ht="90">
      <c r="A52" s="675">
        <v>46</v>
      </c>
      <c r="B52" s="237" t="s">
        <v>75</v>
      </c>
      <c r="C52" s="196"/>
      <c r="D52" s="40" t="s">
        <v>40</v>
      </c>
      <c r="E52" s="40" t="s">
        <v>53</v>
      </c>
      <c r="F52" s="184">
        <f>2* 2695000</f>
        <v>5390000</v>
      </c>
      <c r="G52" s="354" t="s">
        <v>23</v>
      </c>
      <c r="H52" s="354" t="s">
        <v>41</v>
      </c>
      <c r="I52" s="354">
        <v>1399</v>
      </c>
      <c r="J52" s="21" t="s">
        <v>25</v>
      </c>
      <c r="K52" s="60">
        <v>1</v>
      </c>
      <c r="L52" s="43" t="s">
        <v>1828</v>
      </c>
      <c r="M52" s="43" t="s">
        <v>33</v>
      </c>
      <c r="N52" s="454" t="s">
        <v>325</v>
      </c>
      <c r="O52" s="22" t="s">
        <v>959</v>
      </c>
      <c r="P52" s="354"/>
    </row>
    <row r="53" spans="1:16" s="34" customFormat="1" ht="72">
      <c r="A53" s="675">
        <v>47</v>
      </c>
      <c r="B53" s="237" t="s">
        <v>75</v>
      </c>
      <c r="C53" s="196" t="s">
        <v>529</v>
      </c>
      <c r="D53" s="40" t="s">
        <v>40</v>
      </c>
      <c r="E53" s="40" t="s">
        <v>530</v>
      </c>
      <c r="F53" s="259">
        <f>12*66000</f>
        <v>792000</v>
      </c>
      <c r="G53" s="354" t="s">
        <v>23</v>
      </c>
      <c r="H53" s="354" t="s">
        <v>41</v>
      </c>
      <c r="I53" s="354">
        <v>1399</v>
      </c>
      <c r="J53" s="21" t="s">
        <v>25</v>
      </c>
      <c r="K53" s="60">
        <v>1</v>
      </c>
      <c r="L53" s="43"/>
      <c r="M53" s="43" t="s">
        <v>33</v>
      </c>
      <c r="N53" s="33"/>
      <c r="O53" s="33"/>
      <c r="P53" s="354"/>
    </row>
    <row r="54" spans="1:16" s="34" customFormat="1" ht="72">
      <c r="A54" s="675">
        <v>48</v>
      </c>
      <c r="B54" s="237" t="s">
        <v>75</v>
      </c>
      <c r="C54" s="196" t="s">
        <v>529</v>
      </c>
      <c r="D54" s="40" t="s">
        <v>40</v>
      </c>
      <c r="E54" s="40" t="s">
        <v>528</v>
      </c>
      <c r="F54" s="259">
        <f>24*30000</f>
        <v>720000</v>
      </c>
      <c r="G54" s="354" t="s">
        <v>23</v>
      </c>
      <c r="H54" s="354" t="s">
        <v>41</v>
      </c>
      <c r="I54" s="354">
        <v>1399</v>
      </c>
      <c r="J54" s="21" t="s">
        <v>25</v>
      </c>
      <c r="K54" s="60">
        <v>1</v>
      </c>
      <c r="L54" s="43"/>
      <c r="M54" s="43" t="s">
        <v>33</v>
      </c>
      <c r="N54" s="33"/>
      <c r="O54" s="33"/>
      <c r="P54" s="354"/>
    </row>
    <row r="55" spans="1:16" s="34" customFormat="1" ht="90">
      <c r="A55" s="675">
        <v>49</v>
      </c>
      <c r="B55" s="237" t="s">
        <v>75</v>
      </c>
      <c r="C55" s="196"/>
      <c r="D55" s="40" t="s">
        <v>40</v>
      </c>
      <c r="E55" s="40" t="s">
        <v>527</v>
      </c>
      <c r="F55" s="184">
        <f>1560* 900</f>
        <v>1404000</v>
      </c>
      <c r="G55" s="354" t="s">
        <v>23</v>
      </c>
      <c r="H55" s="354" t="s">
        <v>41</v>
      </c>
      <c r="I55" s="354">
        <v>1399</v>
      </c>
      <c r="J55" s="21" t="s">
        <v>25</v>
      </c>
      <c r="K55" s="60">
        <v>1</v>
      </c>
      <c r="L55" s="43" t="s">
        <v>1828</v>
      </c>
      <c r="M55" s="43" t="s">
        <v>33</v>
      </c>
      <c r="N55" s="454" t="s">
        <v>325</v>
      </c>
      <c r="O55" s="22" t="s">
        <v>959</v>
      </c>
      <c r="P55" s="354"/>
    </row>
    <row r="56" spans="1:16" ht="108">
      <c r="A56" s="675">
        <v>50</v>
      </c>
      <c r="B56" s="237" t="s">
        <v>75</v>
      </c>
      <c r="C56" s="196"/>
      <c r="D56" s="40" t="s">
        <v>76</v>
      </c>
      <c r="E56" s="40" t="s">
        <v>526</v>
      </c>
      <c r="F56" s="259">
        <v>265831114</v>
      </c>
      <c r="G56" s="354" t="s">
        <v>23</v>
      </c>
      <c r="H56" s="354" t="s">
        <v>77</v>
      </c>
      <c r="I56" s="354">
        <v>1399</v>
      </c>
      <c r="J56" s="21" t="s">
        <v>25</v>
      </c>
      <c r="K56" s="60">
        <v>1</v>
      </c>
      <c r="L56" s="43" t="s">
        <v>17</v>
      </c>
      <c r="M56" s="43" t="s">
        <v>33</v>
      </c>
      <c r="N56" s="33"/>
      <c r="O56" s="33"/>
      <c r="P56" s="354" t="s">
        <v>1858</v>
      </c>
    </row>
    <row r="57" spans="1:16" s="34" customFormat="1" ht="43.15" customHeight="1">
      <c r="A57" s="675">
        <v>51</v>
      </c>
      <c r="B57" s="237" t="s">
        <v>75</v>
      </c>
      <c r="C57" s="196" t="s">
        <v>1366</v>
      </c>
      <c r="D57" s="882" t="s">
        <v>242</v>
      </c>
      <c r="E57" s="40" t="s">
        <v>525</v>
      </c>
      <c r="F57" s="37">
        <v>1579680</v>
      </c>
      <c r="G57" s="656" t="s">
        <v>23</v>
      </c>
      <c r="H57" s="656" t="s">
        <v>77</v>
      </c>
      <c r="I57" s="656">
        <v>1399</v>
      </c>
      <c r="J57" s="86" t="s">
        <v>25</v>
      </c>
      <c r="K57" s="60">
        <v>1</v>
      </c>
      <c r="L57" s="43"/>
      <c r="M57" s="43" t="s">
        <v>33</v>
      </c>
      <c r="N57" s="33"/>
      <c r="O57" s="33"/>
      <c r="P57" s="354" t="s">
        <v>17</v>
      </c>
    </row>
    <row r="58" spans="1:16" s="34" customFormat="1" ht="43.15" customHeight="1">
      <c r="A58" s="675">
        <v>52</v>
      </c>
      <c r="B58" s="237" t="s">
        <v>75</v>
      </c>
      <c r="C58" s="196" t="s">
        <v>1366</v>
      </c>
      <c r="D58" s="883"/>
      <c r="E58" s="40" t="s">
        <v>524</v>
      </c>
      <c r="F58" s="259">
        <v>77600</v>
      </c>
      <c r="G58" s="354" t="s">
        <v>23</v>
      </c>
      <c r="H58" s="354" t="s">
        <v>77</v>
      </c>
      <c r="I58" s="354">
        <v>1399</v>
      </c>
      <c r="J58" s="458" t="s">
        <v>25</v>
      </c>
      <c r="K58" s="60">
        <v>1</v>
      </c>
      <c r="L58" s="43"/>
      <c r="M58" s="43" t="s">
        <v>33</v>
      </c>
      <c r="N58" s="33"/>
      <c r="O58" s="33"/>
      <c r="P58" s="354"/>
    </row>
    <row r="59" spans="1:16" s="34" customFormat="1" ht="64.150000000000006" customHeight="1">
      <c r="A59" s="675">
        <v>53</v>
      </c>
      <c r="B59" s="237" t="s">
        <v>75</v>
      </c>
      <c r="C59" s="196" t="s">
        <v>1367</v>
      </c>
      <c r="D59" s="40" t="s">
        <v>403</v>
      </c>
      <c r="E59" s="40" t="s">
        <v>523</v>
      </c>
      <c r="F59" s="259">
        <v>240000</v>
      </c>
      <c r="G59" s="354" t="s">
        <v>23</v>
      </c>
      <c r="H59" s="354" t="s">
        <v>77</v>
      </c>
      <c r="I59" s="354">
        <v>1399</v>
      </c>
      <c r="J59" s="458" t="s">
        <v>25</v>
      </c>
      <c r="K59" s="60">
        <v>1</v>
      </c>
      <c r="L59" s="43"/>
      <c r="M59" s="43" t="s">
        <v>33</v>
      </c>
      <c r="N59" s="33"/>
      <c r="O59" s="33"/>
      <c r="P59" s="354"/>
    </row>
    <row r="60" spans="1:16" s="34" customFormat="1" ht="36">
      <c r="A60" s="675">
        <v>54</v>
      </c>
      <c r="B60" s="237" t="s">
        <v>75</v>
      </c>
      <c r="C60" s="196" t="s">
        <v>1009</v>
      </c>
      <c r="D60" s="40" t="s">
        <v>403</v>
      </c>
      <c r="E60" s="40" t="s">
        <v>402</v>
      </c>
      <c r="F60" s="259">
        <v>240000</v>
      </c>
      <c r="G60" s="354" t="s">
        <v>23</v>
      </c>
      <c r="H60" s="354" t="s">
        <v>77</v>
      </c>
      <c r="I60" s="354">
        <v>1399</v>
      </c>
      <c r="J60" s="458" t="s">
        <v>25</v>
      </c>
      <c r="K60" s="60">
        <v>1</v>
      </c>
      <c r="L60" s="43"/>
      <c r="M60" s="43" t="s">
        <v>33</v>
      </c>
      <c r="N60" s="33"/>
      <c r="O60" s="33"/>
      <c r="P60" s="354"/>
    </row>
    <row r="61" spans="1:16" s="34" customFormat="1" ht="65.45" customHeight="1">
      <c r="A61" s="675">
        <v>55</v>
      </c>
      <c r="B61" s="237" t="s">
        <v>75</v>
      </c>
      <c r="C61" s="196" t="s">
        <v>1368</v>
      </c>
      <c r="D61" s="40" t="s">
        <v>500</v>
      </c>
      <c r="E61" s="40" t="s">
        <v>522</v>
      </c>
      <c r="F61" s="259">
        <v>19696440</v>
      </c>
      <c r="G61" s="354" t="s">
        <v>23</v>
      </c>
      <c r="H61" s="354" t="s">
        <v>393</v>
      </c>
      <c r="I61" s="354">
        <v>1399</v>
      </c>
      <c r="J61" s="458" t="s">
        <v>25</v>
      </c>
      <c r="K61" s="60">
        <v>1</v>
      </c>
      <c r="L61" s="440"/>
      <c r="M61" s="43" t="s">
        <v>33</v>
      </c>
      <c r="N61" s="33"/>
      <c r="O61" s="33"/>
      <c r="P61" s="354"/>
    </row>
    <row r="62" spans="1:16" s="34" customFormat="1" ht="54">
      <c r="A62" s="675">
        <v>56</v>
      </c>
      <c r="B62" s="237" t="s">
        <v>75</v>
      </c>
      <c r="C62" s="196" t="s">
        <v>1369</v>
      </c>
      <c r="D62" s="40" t="s">
        <v>500</v>
      </c>
      <c r="E62" s="40" t="s">
        <v>521</v>
      </c>
      <c r="F62" s="259">
        <v>15754840</v>
      </c>
      <c r="G62" s="354" t="s">
        <v>23</v>
      </c>
      <c r="H62" s="354" t="s">
        <v>393</v>
      </c>
      <c r="I62" s="354">
        <v>1399</v>
      </c>
      <c r="J62" s="458" t="s">
        <v>25</v>
      </c>
      <c r="K62" s="60">
        <v>1</v>
      </c>
      <c r="L62" s="440"/>
      <c r="M62" s="43" t="s">
        <v>33</v>
      </c>
      <c r="N62" s="33"/>
      <c r="O62" s="33"/>
      <c r="P62" s="354"/>
    </row>
    <row r="63" spans="1:16" s="34" customFormat="1" ht="144">
      <c r="A63" s="675">
        <v>57</v>
      </c>
      <c r="B63" s="237" t="s">
        <v>75</v>
      </c>
      <c r="C63" s="196" t="s">
        <v>1370</v>
      </c>
      <c r="D63" s="40" t="s">
        <v>500</v>
      </c>
      <c r="E63" s="40" t="s">
        <v>401</v>
      </c>
      <c r="F63" s="259">
        <v>316000</v>
      </c>
      <c r="G63" s="354" t="s">
        <v>23</v>
      </c>
      <c r="H63" s="354" t="s">
        <v>393</v>
      </c>
      <c r="I63" s="354">
        <v>1399</v>
      </c>
      <c r="J63" s="458" t="s">
        <v>25</v>
      </c>
      <c r="K63" s="109" t="s">
        <v>17</v>
      </c>
      <c r="L63" s="440" t="s">
        <v>72</v>
      </c>
      <c r="M63" s="40"/>
      <c r="N63" s="22" t="s">
        <v>1119</v>
      </c>
      <c r="O63" s="22" t="s">
        <v>1859</v>
      </c>
      <c r="P63" s="354"/>
    </row>
    <row r="64" spans="1:16" s="34" customFormat="1" ht="84" customHeight="1">
      <c r="A64" s="675">
        <v>58</v>
      </c>
      <c r="B64" s="237" t="s">
        <v>75</v>
      </c>
      <c r="C64" s="196"/>
      <c r="D64" s="40" t="s">
        <v>500</v>
      </c>
      <c r="E64" s="40" t="s">
        <v>520</v>
      </c>
      <c r="F64" s="259">
        <v>1925000</v>
      </c>
      <c r="G64" s="354" t="s">
        <v>23</v>
      </c>
      <c r="H64" s="354" t="s">
        <v>393</v>
      </c>
      <c r="I64" s="354">
        <v>1400</v>
      </c>
      <c r="J64" s="458" t="s">
        <v>25</v>
      </c>
      <c r="K64" s="60"/>
      <c r="L64" s="43" t="s">
        <v>72</v>
      </c>
      <c r="M64" s="43"/>
      <c r="N64" s="468" t="s">
        <v>325</v>
      </c>
      <c r="O64" s="22" t="s">
        <v>1859</v>
      </c>
      <c r="P64" s="354"/>
    </row>
    <row r="65" spans="1:16" s="34" customFormat="1" ht="90">
      <c r="A65" s="675">
        <v>59</v>
      </c>
      <c r="B65" s="237" t="s">
        <v>75</v>
      </c>
      <c r="C65" s="196"/>
      <c r="D65" s="40" t="s">
        <v>500</v>
      </c>
      <c r="E65" s="40" t="s">
        <v>502</v>
      </c>
      <c r="F65" s="259">
        <v>1540000</v>
      </c>
      <c r="G65" s="354" t="s">
        <v>23</v>
      </c>
      <c r="H65" s="354" t="s">
        <v>393</v>
      </c>
      <c r="I65" s="354">
        <v>1400</v>
      </c>
      <c r="J65" s="458" t="s">
        <v>25</v>
      </c>
      <c r="K65" s="60">
        <v>1</v>
      </c>
      <c r="L65" s="43" t="s">
        <v>1828</v>
      </c>
      <c r="M65" s="43"/>
      <c r="N65" s="468" t="s">
        <v>325</v>
      </c>
      <c r="O65" s="22" t="s">
        <v>1859</v>
      </c>
      <c r="P65" s="354"/>
    </row>
    <row r="66" spans="1:16" s="34" customFormat="1" ht="90">
      <c r="A66" s="675">
        <v>60</v>
      </c>
      <c r="B66" s="237" t="s">
        <v>75</v>
      </c>
      <c r="C66" s="196"/>
      <c r="D66" s="40" t="s">
        <v>500</v>
      </c>
      <c r="E66" s="40" t="s">
        <v>501</v>
      </c>
      <c r="F66" s="259">
        <v>1540000</v>
      </c>
      <c r="G66" s="354" t="s">
        <v>23</v>
      </c>
      <c r="H66" s="354" t="s">
        <v>393</v>
      </c>
      <c r="I66" s="354">
        <v>1400</v>
      </c>
      <c r="J66" s="458" t="s">
        <v>25</v>
      </c>
      <c r="K66" s="60">
        <v>1</v>
      </c>
      <c r="L66" s="43" t="s">
        <v>1828</v>
      </c>
      <c r="M66" s="43"/>
      <c r="N66" s="468" t="s">
        <v>325</v>
      </c>
      <c r="O66" s="22" t="s">
        <v>1859</v>
      </c>
      <c r="P66" s="354"/>
    </row>
    <row r="67" spans="1:16" s="34" customFormat="1" ht="90">
      <c r="A67" s="675">
        <v>61</v>
      </c>
      <c r="B67" s="237" t="s">
        <v>75</v>
      </c>
      <c r="C67" s="196"/>
      <c r="D67" s="40" t="s">
        <v>500</v>
      </c>
      <c r="E67" s="40" t="s">
        <v>518</v>
      </c>
      <c r="F67" s="259">
        <v>4620000</v>
      </c>
      <c r="G67" s="354" t="s">
        <v>23</v>
      </c>
      <c r="H67" s="354" t="s">
        <v>393</v>
      </c>
      <c r="I67" s="354">
        <v>1399</v>
      </c>
      <c r="J67" s="458" t="s">
        <v>25</v>
      </c>
      <c r="K67" s="60">
        <v>1</v>
      </c>
      <c r="L67" s="43" t="s">
        <v>1828</v>
      </c>
      <c r="M67" s="43"/>
      <c r="N67" s="468" t="s">
        <v>325</v>
      </c>
      <c r="O67" s="22" t="s">
        <v>1859</v>
      </c>
      <c r="P67" s="354"/>
    </row>
    <row r="68" spans="1:16" s="34" customFormat="1" ht="71.45" customHeight="1">
      <c r="A68" s="675">
        <v>62</v>
      </c>
      <c r="B68" s="237" t="s">
        <v>75</v>
      </c>
      <c r="C68" s="196"/>
      <c r="D68" s="40" t="s">
        <v>500</v>
      </c>
      <c r="E68" s="40" t="s">
        <v>400</v>
      </c>
      <c r="F68" s="879" t="s">
        <v>399</v>
      </c>
      <c r="G68" s="354" t="s">
        <v>23</v>
      </c>
      <c r="H68" s="354" t="s">
        <v>393</v>
      </c>
      <c r="I68" s="354">
        <v>1399</v>
      </c>
      <c r="J68" s="458" t="s">
        <v>25</v>
      </c>
      <c r="K68" s="60">
        <v>0</v>
      </c>
      <c r="L68" s="43"/>
      <c r="M68" s="43" t="s">
        <v>2141</v>
      </c>
      <c r="N68" s="468"/>
      <c r="O68" s="468"/>
      <c r="P68" s="877" t="s">
        <v>1121</v>
      </c>
    </row>
    <row r="69" spans="1:16" s="34" customFormat="1" ht="79.900000000000006" customHeight="1">
      <c r="A69" s="675">
        <v>63</v>
      </c>
      <c r="B69" s="237" t="s">
        <v>75</v>
      </c>
      <c r="C69" s="196"/>
      <c r="D69" s="40" t="s">
        <v>500</v>
      </c>
      <c r="E69" s="40" t="s">
        <v>398</v>
      </c>
      <c r="F69" s="880"/>
      <c r="G69" s="354" t="s">
        <v>23</v>
      </c>
      <c r="H69" s="354" t="s">
        <v>393</v>
      </c>
      <c r="I69" s="354">
        <v>1399</v>
      </c>
      <c r="J69" s="458" t="s">
        <v>25</v>
      </c>
      <c r="K69" s="60">
        <v>0</v>
      </c>
      <c r="L69" s="43"/>
      <c r="M69" s="43" t="s">
        <v>2141</v>
      </c>
      <c r="N69" s="468"/>
      <c r="O69" s="468"/>
      <c r="P69" s="878"/>
    </row>
    <row r="70" spans="1:16" s="34" customFormat="1" ht="85.9" customHeight="1">
      <c r="A70" s="675">
        <v>64</v>
      </c>
      <c r="B70" s="237" t="s">
        <v>75</v>
      </c>
      <c r="C70" s="196"/>
      <c r="D70" s="40" t="s">
        <v>500</v>
      </c>
      <c r="E70" s="40" t="s">
        <v>397</v>
      </c>
      <c r="F70" s="880"/>
      <c r="G70" s="354" t="s">
        <v>23</v>
      </c>
      <c r="H70" s="354" t="s">
        <v>393</v>
      </c>
      <c r="I70" s="354">
        <v>1399</v>
      </c>
      <c r="J70" s="458" t="s">
        <v>25</v>
      </c>
      <c r="K70" s="60">
        <v>0</v>
      </c>
      <c r="L70" s="43"/>
      <c r="M70" s="43" t="s">
        <v>2141</v>
      </c>
      <c r="N70" s="468"/>
      <c r="O70" s="468"/>
      <c r="P70" s="786" t="s">
        <v>2069</v>
      </c>
    </row>
    <row r="71" spans="1:16" s="34" customFormat="1" ht="87.6" customHeight="1">
      <c r="A71" s="675">
        <v>65</v>
      </c>
      <c r="B71" s="237" t="s">
        <v>75</v>
      </c>
      <c r="C71" s="196"/>
      <c r="D71" s="40" t="s">
        <v>500</v>
      </c>
      <c r="E71" s="40" t="s">
        <v>396</v>
      </c>
      <c r="F71" s="880"/>
      <c r="G71" s="354" t="s">
        <v>23</v>
      </c>
      <c r="H71" s="354" t="s">
        <v>393</v>
      </c>
      <c r="I71" s="354">
        <v>1399</v>
      </c>
      <c r="J71" s="458" t="s">
        <v>25</v>
      </c>
      <c r="K71" s="60">
        <v>0</v>
      </c>
      <c r="L71" s="43"/>
      <c r="M71" s="43" t="s">
        <v>2141</v>
      </c>
      <c r="N71" s="468"/>
      <c r="O71" s="468"/>
      <c r="P71" s="787" t="s">
        <v>1987</v>
      </c>
    </row>
    <row r="72" spans="1:16" s="34" customFormat="1" ht="81.599999999999994" customHeight="1">
      <c r="A72" s="675">
        <v>66</v>
      </c>
      <c r="B72" s="237" t="s">
        <v>75</v>
      </c>
      <c r="C72" s="196"/>
      <c r="D72" s="40" t="s">
        <v>500</v>
      </c>
      <c r="E72" s="40" t="s">
        <v>395</v>
      </c>
      <c r="F72" s="880"/>
      <c r="G72" s="354" t="s">
        <v>23</v>
      </c>
      <c r="H72" s="354" t="s">
        <v>393</v>
      </c>
      <c r="I72" s="354">
        <v>1399</v>
      </c>
      <c r="J72" s="458" t="s">
        <v>25</v>
      </c>
      <c r="K72" s="60">
        <v>0</v>
      </c>
      <c r="L72" s="43"/>
      <c r="M72" s="43" t="s">
        <v>2141</v>
      </c>
      <c r="N72" s="468"/>
      <c r="O72" s="468"/>
      <c r="P72" s="786" t="s">
        <v>2069</v>
      </c>
    </row>
    <row r="73" spans="1:16" s="34" customFormat="1" ht="76.900000000000006" customHeight="1">
      <c r="A73" s="675">
        <v>67</v>
      </c>
      <c r="B73" s="237" t="s">
        <v>75</v>
      </c>
      <c r="C73" s="196"/>
      <c r="D73" s="40" t="s">
        <v>500</v>
      </c>
      <c r="E73" s="40" t="s">
        <v>394</v>
      </c>
      <c r="F73" s="881"/>
      <c r="G73" s="354" t="s">
        <v>23</v>
      </c>
      <c r="H73" s="354" t="s">
        <v>393</v>
      </c>
      <c r="I73" s="354">
        <v>1399</v>
      </c>
      <c r="J73" s="458" t="s">
        <v>25</v>
      </c>
      <c r="K73" s="60">
        <v>0</v>
      </c>
      <c r="L73" s="43"/>
      <c r="M73" s="43" t="s">
        <v>2141</v>
      </c>
      <c r="N73" s="468"/>
      <c r="O73" s="468"/>
      <c r="P73" s="786" t="s">
        <v>2069</v>
      </c>
    </row>
    <row r="74" spans="1:16" s="559" customFormat="1" ht="61.5" customHeight="1">
      <c r="A74" s="675">
        <v>68</v>
      </c>
      <c r="B74" s="6" t="s">
        <v>75</v>
      </c>
      <c r="C74" s="6"/>
      <c r="D74" s="196" t="s">
        <v>73</v>
      </c>
      <c r="E74" s="558" t="s">
        <v>74</v>
      </c>
      <c r="F74" s="290">
        <v>487443.31199999998</v>
      </c>
      <c r="G74" s="561" t="s">
        <v>23</v>
      </c>
      <c r="H74" s="561" t="s">
        <v>77</v>
      </c>
      <c r="I74" s="561">
        <v>1399</v>
      </c>
      <c r="J74" s="33" t="s">
        <v>25</v>
      </c>
      <c r="K74" s="265">
        <v>0</v>
      </c>
      <c r="L74" s="561" t="s">
        <v>72</v>
      </c>
      <c r="M74" s="40"/>
      <c r="N74" s="623" t="s">
        <v>581</v>
      </c>
      <c r="O74" s="236" t="s">
        <v>1842</v>
      </c>
      <c r="P74" s="560"/>
    </row>
  </sheetData>
  <mergeCells count="17">
    <mergeCell ref="K5:K6"/>
    <mergeCell ref="P68:P69"/>
    <mergeCell ref="F68:F73"/>
    <mergeCell ref="D57:D58"/>
    <mergeCell ref="A1:P4"/>
    <mergeCell ref="A5:A6"/>
    <mergeCell ref="B5:B6"/>
    <mergeCell ref="C5:C6"/>
    <mergeCell ref="D5:D6"/>
    <mergeCell ref="E5:E6"/>
    <mergeCell ref="F5:H5"/>
    <mergeCell ref="I5:I6"/>
    <mergeCell ref="L5:M5"/>
    <mergeCell ref="N5:N6"/>
    <mergeCell ref="O5:O6"/>
    <mergeCell ref="P5:P6"/>
    <mergeCell ref="J5:J6"/>
  </mergeCells>
  <printOptions horizontalCentered="1"/>
  <pageMargins left="0.2" right="0.2" top="0.5" bottom="0.5" header="0.3" footer="0.3"/>
  <pageSetup paperSize="9" scale="60" orientation="landscape" r:id="rId1"/>
  <headerFooter>
    <oddFooter>&amp;C&amp;P</oddFooter>
  </headerFooter>
</worksheet>
</file>

<file path=xl/worksheets/sheet28.xml><?xml version="1.0" encoding="utf-8"?>
<worksheet xmlns="http://schemas.openxmlformats.org/spreadsheetml/2006/main" xmlns:r="http://schemas.openxmlformats.org/officeDocument/2006/relationships">
  <sheetPr>
    <tabColor rgb="FF92D050"/>
  </sheetPr>
  <dimension ref="A1:R68"/>
  <sheetViews>
    <sheetView rightToLeft="1" view="pageBreakPreview" zoomScale="78" zoomScaleSheetLayoutView="78" workbookViewId="0">
      <pane ySplit="6" topLeftCell="A63" activePane="bottomLeft" state="frozen"/>
      <selection pane="bottomLeft" activeCell="K68" sqref="K68"/>
    </sheetView>
  </sheetViews>
  <sheetFormatPr defaultColWidth="9.140625" defaultRowHeight="15"/>
  <cols>
    <col min="1" max="1" width="6.42578125" style="1" customWidth="1"/>
    <col min="2" max="2" width="18.85546875" style="7" customWidth="1"/>
    <col min="3" max="3" width="9.85546875" style="3" customWidth="1"/>
    <col min="4" max="4" width="13.42578125" style="7" customWidth="1"/>
    <col min="5" max="5" width="33.140625" style="7" customWidth="1"/>
    <col min="6" max="6" width="20.42578125" style="2" customWidth="1"/>
    <col min="7" max="7" width="14" style="2" customWidth="1"/>
    <col min="8" max="8" width="14" style="7" customWidth="1"/>
    <col min="9" max="9" width="13.85546875" style="1" customWidth="1"/>
    <col min="10" max="10" width="14" style="9" customWidth="1"/>
    <col min="11" max="11" width="13.140625" style="14" customWidth="1"/>
    <col min="12" max="12" width="10.42578125" style="145" customWidth="1"/>
    <col min="13" max="13" width="12.7109375" style="11" customWidth="1"/>
    <col min="14" max="14" width="18.85546875" style="11" customWidth="1"/>
    <col min="15" max="15" width="15.42578125" style="11" customWidth="1"/>
    <col min="16" max="16" width="14.140625" style="145" customWidth="1"/>
    <col min="17" max="16384" width="9.140625" style="145"/>
  </cols>
  <sheetData>
    <row r="1" spans="1:16" ht="18" customHeight="1">
      <c r="A1" s="788" t="s">
        <v>1975</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8.9" customHeight="1">
      <c r="A5" s="792" t="s">
        <v>0</v>
      </c>
      <c r="B5" s="829" t="s">
        <v>14</v>
      </c>
      <c r="C5" s="792" t="s">
        <v>19</v>
      </c>
      <c r="D5" s="829" t="s">
        <v>1</v>
      </c>
      <c r="E5" s="829" t="s">
        <v>15</v>
      </c>
      <c r="F5" s="792" t="s">
        <v>9</v>
      </c>
      <c r="G5" s="792"/>
      <c r="H5" s="792"/>
      <c r="I5" s="792" t="s">
        <v>7</v>
      </c>
      <c r="J5" s="810" t="s">
        <v>6</v>
      </c>
      <c r="K5" s="811" t="s">
        <v>16</v>
      </c>
      <c r="L5" s="792" t="s">
        <v>2</v>
      </c>
      <c r="M5" s="792"/>
      <c r="N5" s="829" t="s">
        <v>5</v>
      </c>
      <c r="O5" s="829" t="s">
        <v>13</v>
      </c>
      <c r="P5" s="812" t="s">
        <v>8</v>
      </c>
    </row>
    <row r="6" spans="1:16" ht="38.450000000000003" customHeight="1">
      <c r="A6" s="792"/>
      <c r="B6" s="829"/>
      <c r="C6" s="792"/>
      <c r="D6" s="829"/>
      <c r="E6" s="829"/>
      <c r="F6" s="148" t="s">
        <v>10</v>
      </c>
      <c r="G6" s="148" t="s">
        <v>11</v>
      </c>
      <c r="H6" s="147" t="s">
        <v>12</v>
      </c>
      <c r="I6" s="792"/>
      <c r="J6" s="810"/>
      <c r="K6" s="811"/>
      <c r="L6" s="148" t="s">
        <v>3</v>
      </c>
      <c r="M6" s="147" t="s">
        <v>4</v>
      </c>
      <c r="N6" s="829"/>
      <c r="O6" s="829"/>
      <c r="P6" s="813"/>
    </row>
    <row r="7" spans="1:16" s="5" customFormat="1" ht="53.45" customHeight="1">
      <c r="A7" s="583">
        <v>1</v>
      </c>
      <c r="B7" s="43" t="s">
        <v>75</v>
      </c>
      <c r="C7" s="354" t="s">
        <v>184</v>
      </c>
      <c r="D7" s="573" t="s">
        <v>1753</v>
      </c>
      <c r="E7" s="573" t="s">
        <v>1754</v>
      </c>
      <c r="F7" s="184">
        <v>199000</v>
      </c>
      <c r="G7" s="82" t="s">
        <v>23</v>
      </c>
      <c r="H7" s="582" t="s">
        <v>77</v>
      </c>
      <c r="I7" s="82">
        <v>1399</v>
      </c>
      <c r="J7" s="579" t="s">
        <v>25</v>
      </c>
      <c r="K7" s="24">
        <v>1</v>
      </c>
      <c r="L7" s="179"/>
      <c r="M7" s="43" t="s">
        <v>33</v>
      </c>
      <c r="N7" s="180"/>
      <c r="O7" s="180"/>
      <c r="P7" s="179"/>
    </row>
    <row r="8" spans="1:16" s="5" customFormat="1" ht="54">
      <c r="A8" s="583">
        <v>2</v>
      </c>
      <c r="B8" s="43" t="s">
        <v>75</v>
      </c>
      <c r="C8" s="354" t="s">
        <v>1755</v>
      </c>
      <c r="D8" s="573" t="s">
        <v>1753</v>
      </c>
      <c r="E8" s="573" t="s">
        <v>1756</v>
      </c>
      <c r="F8" s="184">
        <v>176000</v>
      </c>
      <c r="G8" s="82" t="s">
        <v>23</v>
      </c>
      <c r="H8" s="582" t="s">
        <v>77</v>
      </c>
      <c r="I8" s="82">
        <v>1399</v>
      </c>
      <c r="J8" s="579" t="s">
        <v>25</v>
      </c>
      <c r="K8" s="24">
        <v>1</v>
      </c>
      <c r="L8" s="179"/>
      <c r="M8" s="43" t="s">
        <v>33</v>
      </c>
      <c r="N8" s="180"/>
      <c r="O8" s="180"/>
      <c r="P8" s="179"/>
    </row>
    <row r="9" spans="1:16" s="5" customFormat="1" ht="54">
      <c r="A9" s="588">
        <v>3</v>
      </c>
      <c r="B9" s="43" t="s">
        <v>75</v>
      </c>
      <c r="C9" s="354" t="s">
        <v>1755</v>
      </c>
      <c r="D9" s="573" t="s">
        <v>1753</v>
      </c>
      <c r="E9" s="573" t="s">
        <v>1757</v>
      </c>
      <c r="F9" s="184">
        <v>500000</v>
      </c>
      <c r="G9" s="82" t="s">
        <v>23</v>
      </c>
      <c r="H9" s="582" t="s">
        <v>77</v>
      </c>
      <c r="I9" s="82">
        <v>1399</v>
      </c>
      <c r="J9" s="579" t="s">
        <v>25</v>
      </c>
      <c r="K9" s="24">
        <v>1</v>
      </c>
      <c r="L9" s="179"/>
      <c r="M9" s="43" t="s">
        <v>33</v>
      </c>
      <c r="N9" s="180"/>
      <c r="O9" s="180"/>
      <c r="P9" s="179"/>
    </row>
    <row r="10" spans="1:16" s="5" customFormat="1" ht="54">
      <c r="A10" s="588">
        <v>4</v>
      </c>
      <c r="B10" s="43" t="s">
        <v>75</v>
      </c>
      <c r="C10" s="354" t="s">
        <v>1755</v>
      </c>
      <c r="D10" s="573" t="s">
        <v>1753</v>
      </c>
      <c r="E10" s="573" t="s">
        <v>1758</v>
      </c>
      <c r="F10" s="184">
        <v>360000</v>
      </c>
      <c r="G10" s="82" t="s">
        <v>23</v>
      </c>
      <c r="H10" s="582" t="s">
        <v>77</v>
      </c>
      <c r="I10" s="82">
        <v>1399</v>
      </c>
      <c r="J10" s="579" t="s">
        <v>25</v>
      </c>
      <c r="K10" s="24">
        <v>1</v>
      </c>
      <c r="L10" s="179"/>
      <c r="M10" s="43" t="s">
        <v>33</v>
      </c>
      <c r="N10" s="180"/>
      <c r="O10" s="180"/>
      <c r="P10" s="179"/>
    </row>
    <row r="11" spans="1:16" s="5" customFormat="1" ht="54">
      <c r="A11" s="588">
        <v>5</v>
      </c>
      <c r="B11" s="43" t="s">
        <v>75</v>
      </c>
      <c r="C11" s="354" t="s">
        <v>1755</v>
      </c>
      <c r="D11" s="573" t="s">
        <v>1753</v>
      </c>
      <c r="E11" s="573" t="s">
        <v>1759</v>
      </c>
      <c r="F11" s="184">
        <v>400000</v>
      </c>
      <c r="G11" s="82" t="s">
        <v>23</v>
      </c>
      <c r="H11" s="582" t="s">
        <v>77</v>
      </c>
      <c r="I11" s="82">
        <v>1399</v>
      </c>
      <c r="J11" s="579" t="s">
        <v>25</v>
      </c>
      <c r="K11" s="24">
        <v>1</v>
      </c>
      <c r="L11" s="179"/>
      <c r="M11" s="43" t="s">
        <v>33</v>
      </c>
      <c r="N11" s="180"/>
      <c r="O11" s="180"/>
      <c r="P11" s="179"/>
    </row>
    <row r="12" spans="1:16" s="5" customFormat="1" ht="54">
      <c r="A12" s="588">
        <v>6</v>
      </c>
      <c r="B12" s="43" t="s">
        <v>75</v>
      </c>
      <c r="C12" s="354" t="s">
        <v>1755</v>
      </c>
      <c r="D12" s="573" t="s">
        <v>1753</v>
      </c>
      <c r="E12" s="573" t="s">
        <v>1760</v>
      </c>
      <c r="F12" s="184">
        <v>130000</v>
      </c>
      <c r="G12" s="82" t="s">
        <v>23</v>
      </c>
      <c r="H12" s="582" t="s">
        <v>77</v>
      </c>
      <c r="I12" s="82">
        <v>1399</v>
      </c>
      <c r="J12" s="579" t="s">
        <v>25</v>
      </c>
      <c r="K12" s="24">
        <v>1</v>
      </c>
      <c r="L12" s="179"/>
      <c r="M12" s="43" t="s">
        <v>33</v>
      </c>
      <c r="N12" s="180"/>
      <c r="O12" s="180"/>
      <c r="P12" s="179"/>
    </row>
    <row r="13" spans="1:16" s="5" customFormat="1" ht="54">
      <c r="A13" s="588">
        <v>7</v>
      </c>
      <c r="B13" s="43" t="s">
        <v>75</v>
      </c>
      <c r="C13" s="354" t="s">
        <v>1755</v>
      </c>
      <c r="D13" s="573" t="s">
        <v>1753</v>
      </c>
      <c r="E13" s="573" t="s">
        <v>1761</v>
      </c>
      <c r="F13" s="184">
        <v>150000</v>
      </c>
      <c r="G13" s="82" t="s">
        <v>23</v>
      </c>
      <c r="H13" s="582" t="s">
        <v>77</v>
      </c>
      <c r="I13" s="82">
        <v>1399</v>
      </c>
      <c r="J13" s="579" t="s">
        <v>25</v>
      </c>
      <c r="K13" s="24">
        <v>1</v>
      </c>
      <c r="L13" s="179"/>
      <c r="M13" s="43" t="s">
        <v>33</v>
      </c>
      <c r="N13" s="180"/>
      <c r="O13" s="180"/>
      <c r="P13" s="179"/>
    </row>
    <row r="14" spans="1:16" s="26" customFormat="1" ht="63" customHeight="1">
      <c r="A14" s="588">
        <v>8</v>
      </c>
      <c r="B14" s="43" t="s">
        <v>75</v>
      </c>
      <c r="C14" s="83"/>
      <c r="D14" s="57" t="s">
        <v>21</v>
      </c>
      <c r="E14" s="57" t="s">
        <v>22</v>
      </c>
      <c r="F14" s="184">
        <v>640000</v>
      </c>
      <c r="G14" s="82" t="s">
        <v>23</v>
      </c>
      <c r="H14" s="64" t="s">
        <v>77</v>
      </c>
      <c r="I14" s="82">
        <v>1399</v>
      </c>
      <c r="J14" s="65" t="s">
        <v>25</v>
      </c>
      <c r="K14" s="235">
        <v>1</v>
      </c>
      <c r="L14" s="82"/>
      <c r="M14" s="43" t="s">
        <v>33</v>
      </c>
      <c r="N14" s="64"/>
      <c r="O14" s="871"/>
      <c r="P14" s="58"/>
    </row>
    <row r="15" spans="1:16" s="26" customFormat="1" ht="62.45" customHeight="1">
      <c r="A15" s="588">
        <v>9</v>
      </c>
      <c r="B15" s="43" t="s">
        <v>75</v>
      </c>
      <c r="C15" s="83"/>
      <c r="D15" s="57" t="s">
        <v>21</v>
      </c>
      <c r="E15" s="57" t="s">
        <v>98</v>
      </c>
      <c r="F15" s="184">
        <v>17000</v>
      </c>
      <c r="G15" s="82" t="s">
        <v>23</v>
      </c>
      <c r="H15" s="64" t="s">
        <v>77</v>
      </c>
      <c r="I15" s="82">
        <v>1399</v>
      </c>
      <c r="J15" s="65" t="s">
        <v>25</v>
      </c>
      <c r="K15" s="235">
        <v>1</v>
      </c>
      <c r="L15" s="82"/>
      <c r="M15" s="43" t="s">
        <v>33</v>
      </c>
      <c r="N15" s="64"/>
      <c r="O15" s="871"/>
      <c r="P15" s="58"/>
    </row>
    <row r="16" spans="1:16" s="26" customFormat="1" ht="45" customHeight="1">
      <c r="A16" s="588">
        <v>10</v>
      </c>
      <c r="B16" s="43" t="s">
        <v>75</v>
      </c>
      <c r="C16" s="83"/>
      <c r="D16" s="57" t="s">
        <v>28</v>
      </c>
      <c r="E16" s="169" t="s">
        <v>517</v>
      </c>
      <c r="F16" s="184">
        <v>7560000</v>
      </c>
      <c r="G16" s="82" t="s">
        <v>23</v>
      </c>
      <c r="H16" s="64" t="s">
        <v>77</v>
      </c>
      <c r="I16" s="82">
        <v>1399</v>
      </c>
      <c r="J16" s="65" t="s">
        <v>25</v>
      </c>
      <c r="K16" s="235">
        <v>1</v>
      </c>
      <c r="L16" s="152"/>
      <c r="M16" s="43" t="s">
        <v>33</v>
      </c>
      <c r="N16" s="65"/>
      <c r="O16" s="152"/>
      <c r="P16" s="251" t="s">
        <v>17</v>
      </c>
    </row>
    <row r="17" spans="1:18" s="26" customFormat="1" ht="108">
      <c r="A17" s="588">
        <v>11</v>
      </c>
      <c r="B17" s="43" t="s">
        <v>75</v>
      </c>
      <c r="C17" s="83"/>
      <c r="D17" s="57" t="s">
        <v>28</v>
      </c>
      <c r="E17" s="57" t="s">
        <v>29</v>
      </c>
      <c r="F17" s="184">
        <v>135000</v>
      </c>
      <c r="G17" s="82" t="s">
        <v>23</v>
      </c>
      <c r="H17" s="64" t="s">
        <v>77</v>
      </c>
      <c r="I17" s="82">
        <v>1399</v>
      </c>
      <c r="J17" s="65" t="s">
        <v>25</v>
      </c>
      <c r="K17" s="235">
        <v>1</v>
      </c>
      <c r="L17" s="245"/>
      <c r="M17" s="43" t="s">
        <v>33</v>
      </c>
      <c r="N17" s="244"/>
      <c r="O17" s="57"/>
      <c r="P17" s="57"/>
    </row>
    <row r="18" spans="1:18" s="26" customFormat="1" ht="108">
      <c r="A18" s="588">
        <v>12</v>
      </c>
      <c r="B18" s="43" t="s">
        <v>75</v>
      </c>
      <c r="C18" s="83"/>
      <c r="D18" s="57" t="s">
        <v>28</v>
      </c>
      <c r="E18" s="169" t="s">
        <v>516</v>
      </c>
      <c r="F18" s="184">
        <v>41500</v>
      </c>
      <c r="G18" s="82" t="s">
        <v>23</v>
      </c>
      <c r="H18" s="64" t="s">
        <v>77</v>
      </c>
      <c r="I18" s="82">
        <v>1399</v>
      </c>
      <c r="J18" s="65" t="s">
        <v>25</v>
      </c>
      <c r="K18" s="235">
        <v>1</v>
      </c>
      <c r="L18" s="245" t="s">
        <v>17</v>
      </c>
      <c r="M18" s="43" t="s">
        <v>33</v>
      </c>
      <c r="N18" s="244" t="s">
        <v>17</v>
      </c>
      <c r="O18" s="57"/>
      <c r="P18" s="57"/>
    </row>
    <row r="19" spans="1:18" s="26" customFormat="1" ht="57" customHeight="1">
      <c r="A19" s="588">
        <v>13</v>
      </c>
      <c r="B19" s="43" t="s">
        <v>75</v>
      </c>
      <c r="C19" s="83"/>
      <c r="D19" s="57" t="s">
        <v>31</v>
      </c>
      <c r="E19" s="57" t="s">
        <v>80</v>
      </c>
      <c r="F19" s="184">
        <v>264500</v>
      </c>
      <c r="G19" s="82" t="s">
        <v>23</v>
      </c>
      <c r="H19" s="64" t="s">
        <v>77</v>
      </c>
      <c r="I19" s="82">
        <v>1399</v>
      </c>
      <c r="J19" s="65" t="s">
        <v>25</v>
      </c>
      <c r="K19" s="235">
        <v>1</v>
      </c>
      <c r="L19" s="245"/>
      <c r="M19" s="43" t="s">
        <v>33</v>
      </c>
      <c r="N19" s="244"/>
      <c r="O19" s="57"/>
      <c r="P19" s="58"/>
    </row>
    <row r="20" spans="1:18" s="26" customFormat="1" ht="77.25" customHeight="1">
      <c r="A20" s="588">
        <v>14</v>
      </c>
      <c r="B20" s="43" t="s">
        <v>75</v>
      </c>
      <c r="C20" s="83"/>
      <c r="D20" s="57" t="s">
        <v>31</v>
      </c>
      <c r="E20" s="57" t="s">
        <v>34</v>
      </c>
      <c r="F20" s="184">
        <v>237677</v>
      </c>
      <c r="G20" s="82" t="s">
        <v>23</v>
      </c>
      <c r="H20" s="64" t="s">
        <v>77</v>
      </c>
      <c r="I20" s="82">
        <v>1399</v>
      </c>
      <c r="J20" s="65" t="s">
        <v>25</v>
      </c>
      <c r="K20" s="235">
        <v>1</v>
      </c>
      <c r="L20" s="245"/>
      <c r="M20" s="43" t="s">
        <v>33</v>
      </c>
      <c r="N20" s="244"/>
      <c r="O20" s="57"/>
      <c r="P20" s="58"/>
    </row>
    <row r="21" spans="1:18" s="26" customFormat="1" ht="54">
      <c r="A21" s="588">
        <v>15</v>
      </c>
      <c r="B21" s="43" t="s">
        <v>75</v>
      </c>
      <c r="C21" s="83"/>
      <c r="D21" s="57" t="s">
        <v>31</v>
      </c>
      <c r="E21" s="57" t="s">
        <v>32</v>
      </c>
      <c r="F21" s="184">
        <v>169680</v>
      </c>
      <c r="G21" s="82" t="s">
        <v>23</v>
      </c>
      <c r="H21" s="64" t="s">
        <v>77</v>
      </c>
      <c r="I21" s="82">
        <v>1399</v>
      </c>
      <c r="J21" s="65" t="s">
        <v>25</v>
      </c>
      <c r="K21" s="235">
        <v>1</v>
      </c>
      <c r="L21" s="245"/>
      <c r="M21" s="43" t="s">
        <v>33</v>
      </c>
      <c r="N21" s="244"/>
      <c r="O21" s="57"/>
      <c r="P21" s="58"/>
    </row>
    <row r="22" spans="1:18" s="26" customFormat="1" ht="57" customHeight="1">
      <c r="A22" s="588">
        <v>16</v>
      </c>
      <c r="B22" s="43" t="s">
        <v>75</v>
      </c>
      <c r="C22" s="83"/>
      <c r="D22" s="57" t="s">
        <v>31</v>
      </c>
      <c r="E22" s="57" t="s">
        <v>515</v>
      </c>
      <c r="F22" s="184"/>
      <c r="G22" s="82" t="s">
        <v>23</v>
      </c>
      <c r="H22" s="64" t="s">
        <v>77</v>
      </c>
      <c r="I22" s="82">
        <v>1399</v>
      </c>
      <c r="J22" s="65" t="s">
        <v>25</v>
      </c>
      <c r="K22" s="235" t="s">
        <v>17</v>
      </c>
      <c r="L22" s="82" t="s">
        <v>72</v>
      </c>
      <c r="M22" s="64" t="s">
        <v>17</v>
      </c>
      <c r="N22" s="64" t="s">
        <v>36</v>
      </c>
      <c r="O22" s="57" t="s">
        <v>216</v>
      </c>
      <c r="P22" s="58"/>
    </row>
    <row r="23" spans="1:18" s="26" customFormat="1" ht="72">
      <c r="A23" s="588">
        <v>17</v>
      </c>
      <c r="B23" s="43" t="s">
        <v>75</v>
      </c>
      <c r="C23" s="83"/>
      <c r="D23" s="57" t="s">
        <v>31</v>
      </c>
      <c r="E23" s="57" t="s">
        <v>483</v>
      </c>
      <c r="F23" s="184">
        <v>402000</v>
      </c>
      <c r="G23" s="82" t="s">
        <v>23</v>
      </c>
      <c r="H23" s="64" t="s">
        <v>77</v>
      </c>
      <c r="I23" s="82">
        <v>1399</v>
      </c>
      <c r="J23" s="65" t="s">
        <v>25</v>
      </c>
      <c r="K23" s="235">
        <v>1</v>
      </c>
      <c r="L23" s="82"/>
      <c r="M23" s="244" t="s">
        <v>33</v>
      </c>
      <c r="N23" s="244" t="s">
        <v>17</v>
      </c>
      <c r="O23" s="57"/>
      <c r="P23" s="58"/>
    </row>
    <row r="24" spans="1:18" s="34" customFormat="1" ht="75" customHeight="1">
      <c r="A24" s="588">
        <v>18</v>
      </c>
      <c r="B24" s="43" t="s">
        <v>75</v>
      </c>
      <c r="C24" s="83"/>
      <c r="D24" s="57" t="s">
        <v>40</v>
      </c>
      <c r="E24" s="169" t="s">
        <v>244</v>
      </c>
      <c r="F24" s="184">
        <f>2* 1413600</f>
        <v>2827200</v>
      </c>
      <c r="G24" s="82" t="s">
        <v>23</v>
      </c>
      <c r="H24" s="64" t="s">
        <v>41</v>
      </c>
      <c r="I24" s="82">
        <v>1399</v>
      </c>
      <c r="J24" s="65" t="s">
        <v>25</v>
      </c>
      <c r="K24" s="235">
        <v>1</v>
      </c>
      <c r="L24" s="245"/>
      <c r="M24" s="244" t="s">
        <v>33</v>
      </c>
      <c r="N24" s="244"/>
      <c r="O24" s="250"/>
      <c r="P24" s="57"/>
    </row>
    <row r="25" spans="1:18" s="34" customFormat="1" ht="81.75" customHeight="1">
      <c r="A25" s="588">
        <v>19</v>
      </c>
      <c r="B25" s="43" t="s">
        <v>75</v>
      </c>
      <c r="C25" s="83"/>
      <c r="D25" s="57" t="s">
        <v>40</v>
      </c>
      <c r="E25" s="169" t="s">
        <v>514</v>
      </c>
      <c r="F25" s="184">
        <f>100* 58032</f>
        <v>5803200</v>
      </c>
      <c r="G25" s="82" t="s">
        <v>23</v>
      </c>
      <c r="H25" s="64" t="s">
        <v>41</v>
      </c>
      <c r="I25" s="82">
        <v>1399</v>
      </c>
      <c r="J25" s="65" t="s">
        <v>25</v>
      </c>
      <c r="K25" s="235">
        <v>1</v>
      </c>
      <c r="L25" s="245"/>
      <c r="M25" s="244" t="s">
        <v>33</v>
      </c>
      <c r="N25" s="244"/>
      <c r="O25" s="57"/>
      <c r="P25" s="57"/>
    </row>
    <row r="26" spans="1:18" s="34" customFormat="1" ht="49.15" customHeight="1">
      <c r="A26" s="588">
        <v>20</v>
      </c>
      <c r="B26" s="43" t="s">
        <v>75</v>
      </c>
      <c r="C26" s="83"/>
      <c r="D26" s="57" t="s">
        <v>40</v>
      </c>
      <c r="E26" s="169" t="s">
        <v>513</v>
      </c>
      <c r="F26" s="58" t="s">
        <v>17</v>
      </c>
      <c r="G26" s="82" t="s">
        <v>17</v>
      </c>
      <c r="H26" s="64" t="s">
        <v>17</v>
      </c>
      <c r="I26" s="82">
        <v>1399</v>
      </c>
      <c r="J26" s="65" t="s">
        <v>25</v>
      </c>
      <c r="K26" s="235">
        <v>1</v>
      </c>
      <c r="L26" s="245"/>
      <c r="M26" s="244" t="s">
        <v>33</v>
      </c>
      <c r="N26" s="244"/>
      <c r="O26" s="249"/>
      <c r="P26" s="57" t="s">
        <v>324</v>
      </c>
    </row>
    <row r="27" spans="1:18" s="34" customFormat="1" ht="51" customHeight="1">
      <c r="A27" s="588">
        <v>21</v>
      </c>
      <c r="B27" s="43" t="s">
        <v>75</v>
      </c>
      <c r="C27" s="83"/>
      <c r="D27" s="57" t="s">
        <v>40</v>
      </c>
      <c r="E27" s="169" t="s">
        <v>245</v>
      </c>
      <c r="F27" s="184">
        <f>765* 148</f>
        <v>113220</v>
      </c>
      <c r="G27" s="82" t="s">
        <v>23</v>
      </c>
      <c r="H27" s="64" t="s">
        <v>41</v>
      </c>
      <c r="I27" s="82">
        <v>1399</v>
      </c>
      <c r="J27" s="65" t="s">
        <v>25</v>
      </c>
      <c r="K27" s="235">
        <v>1</v>
      </c>
      <c r="L27" s="245"/>
      <c r="M27" s="244" t="s">
        <v>33</v>
      </c>
      <c r="N27" s="244"/>
      <c r="O27" s="57"/>
      <c r="P27" s="57"/>
      <c r="R27" s="248"/>
    </row>
    <row r="28" spans="1:18" s="34" customFormat="1" ht="66" customHeight="1">
      <c r="A28" s="588">
        <v>22</v>
      </c>
      <c r="B28" s="43" t="s">
        <v>75</v>
      </c>
      <c r="C28" s="83"/>
      <c r="D28" s="57" t="s">
        <v>40</v>
      </c>
      <c r="E28" s="169" t="s">
        <v>166</v>
      </c>
      <c r="F28" s="184">
        <f>3* 375000</f>
        <v>1125000</v>
      </c>
      <c r="G28" s="82" t="s">
        <v>23</v>
      </c>
      <c r="H28" s="64" t="s">
        <v>41</v>
      </c>
      <c r="I28" s="82">
        <v>1399</v>
      </c>
      <c r="J28" s="65" t="s">
        <v>25</v>
      </c>
      <c r="K28" s="235">
        <v>1</v>
      </c>
      <c r="L28" s="247" t="s">
        <v>947</v>
      </c>
      <c r="M28" s="244" t="s">
        <v>33</v>
      </c>
      <c r="N28" s="452" t="s">
        <v>325</v>
      </c>
      <c r="O28" s="22" t="s">
        <v>993</v>
      </c>
      <c r="P28" s="58"/>
    </row>
    <row r="29" spans="1:18" s="34" customFormat="1" ht="65.45" customHeight="1">
      <c r="A29" s="588">
        <v>23</v>
      </c>
      <c r="B29" s="43" t="s">
        <v>75</v>
      </c>
      <c r="C29" s="83"/>
      <c r="D29" s="57" t="s">
        <v>40</v>
      </c>
      <c r="E29" s="169" t="s">
        <v>246</v>
      </c>
      <c r="F29" s="184">
        <f>27* 22320</f>
        <v>602640</v>
      </c>
      <c r="G29" s="82" t="s">
        <v>23</v>
      </c>
      <c r="H29" s="64" t="s">
        <v>41</v>
      </c>
      <c r="I29" s="82">
        <v>1399</v>
      </c>
      <c r="J29" s="65" t="s">
        <v>25</v>
      </c>
      <c r="K29" s="235">
        <v>1</v>
      </c>
      <c r="L29" s="247" t="s">
        <v>947</v>
      </c>
      <c r="M29" s="244" t="s">
        <v>33</v>
      </c>
      <c r="N29" s="452" t="s">
        <v>325</v>
      </c>
      <c r="O29" s="22" t="s">
        <v>993</v>
      </c>
      <c r="P29" s="57"/>
    </row>
    <row r="30" spans="1:18" s="34" customFormat="1" ht="64.150000000000006" customHeight="1">
      <c r="A30" s="588">
        <v>24</v>
      </c>
      <c r="B30" s="43" t="s">
        <v>75</v>
      </c>
      <c r="C30" s="83"/>
      <c r="D30" s="57" t="s">
        <v>40</v>
      </c>
      <c r="E30" s="169" t="s">
        <v>512</v>
      </c>
      <c r="F30" s="184">
        <f>5* 3645</f>
        <v>18225</v>
      </c>
      <c r="G30" s="82" t="s">
        <v>23</v>
      </c>
      <c r="H30" s="64" t="s">
        <v>41</v>
      </c>
      <c r="I30" s="82">
        <v>1399</v>
      </c>
      <c r="J30" s="65" t="s">
        <v>25</v>
      </c>
      <c r="K30" s="235">
        <v>1</v>
      </c>
      <c r="L30" s="247" t="s">
        <v>947</v>
      </c>
      <c r="M30" s="244" t="s">
        <v>33</v>
      </c>
      <c r="N30" s="452" t="s">
        <v>325</v>
      </c>
      <c r="O30" s="22" t="s">
        <v>993</v>
      </c>
      <c r="P30" s="57"/>
    </row>
    <row r="31" spans="1:18" s="34" customFormat="1" ht="66" customHeight="1">
      <c r="A31" s="588">
        <v>25</v>
      </c>
      <c r="B31" s="43" t="s">
        <v>75</v>
      </c>
      <c r="C31" s="83"/>
      <c r="D31" s="57" t="s">
        <v>40</v>
      </c>
      <c r="E31" s="169" t="s">
        <v>124</v>
      </c>
      <c r="F31" s="184">
        <f>5* 44640</f>
        <v>223200</v>
      </c>
      <c r="G31" s="82" t="s">
        <v>23</v>
      </c>
      <c r="H31" s="64" t="s">
        <v>41</v>
      </c>
      <c r="I31" s="82">
        <v>1399</v>
      </c>
      <c r="J31" s="65" t="s">
        <v>25</v>
      </c>
      <c r="K31" s="235">
        <v>1</v>
      </c>
      <c r="L31" s="247" t="s">
        <v>947</v>
      </c>
      <c r="M31" s="244" t="s">
        <v>33</v>
      </c>
      <c r="N31" s="452" t="s">
        <v>325</v>
      </c>
      <c r="O31" s="22" t="s">
        <v>993</v>
      </c>
      <c r="P31" s="58"/>
    </row>
    <row r="32" spans="1:18" s="34" customFormat="1" ht="70.5" customHeight="1">
      <c r="A32" s="588">
        <v>26</v>
      </c>
      <c r="B32" s="43" t="s">
        <v>75</v>
      </c>
      <c r="C32" s="83"/>
      <c r="D32" s="57" t="s">
        <v>40</v>
      </c>
      <c r="E32" s="169" t="s">
        <v>47</v>
      </c>
      <c r="F32" s="184">
        <f>150* 1518</f>
        <v>227700</v>
      </c>
      <c r="G32" s="82" t="s">
        <v>23</v>
      </c>
      <c r="H32" s="64" t="s">
        <v>41</v>
      </c>
      <c r="I32" s="82">
        <v>1399</v>
      </c>
      <c r="J32" s="65" t="s">
        <v>25</v>
      </c>
      <c r="K32" s="235">
        <v>1</v>
      </c>
      <c r="L32" s="247" t="s">
        <v>947</v>
      </c>
      <c r="M32" s="244" t="s">
        <v>33</v>
      </c>
      <c r="N32" s="452" t="s">
        <v>325</v>
      </c>
      <c r="O32" s="22" t="s">
        <v>993</v>
      </c>
      <c r="P32" s="58"/>
    </row>
    <row r="33" spans="1:16" s="34" customFormat="1" ht="63" customHeight="1">
      <c r="A33" s="588">
        <v>27</v>
      </c>
      <c r="B33" s="43" t="s">
        <v>75</v>
      </c>
      <c r="C33" s="83"/>
      <c r="D33" s="57" t="s">
        <v>40</v>
      </c>
      <c r="E33" s="169" t="s">
        <v>48</v>
      </c>
      <c r="F33" s="184">
        <f>2* 42514</f>
        <v>85028</v>
      </c>
      <c r="G33" s="82" t="s">
        <v>23</v>
      </c>
      <c r="H33" s="64" t="s">
        <v>41</v>
      </c>
      <c r="I33" s="82">
        <v>1399</v>
      </c>
      <c r="J33" s="65" t="s">
        <v>25</v>
      </c>
      <c r="K33" s="235">
        <v>1</v>
      </c>
      <c r="L33" s="247" t="s">
        <v>947</v>
      </c>
      <c r="M33" s="244" t="s">
        <v>33</v>
      </c>
      <c r="N33" s="452" t="s">
        <v>325</v>
      </c>
      <c r="O33" s="22" t="s">
        <v>993</v>
      </c>
      <c r="P33" s="57"/>
    </row>
    <row r="34" spans="1:16" s="34" customFormat="1" ht="64.5" customHeight="1">
      <c r="A34" s="588">
        <v>28</v>
      </c>
      <c r="B34" s="43" t="s">
        <v>75</v>
      </c>
      <c r="C34" s="83"/>
      <c r="D34" s="57" t="s">
        <v>40</v>
      </c>
      <c r="E34" s="57" t="s">
        <v>91</v>
      </c>
      <c r="F34" s="184">
        <f>100* 1041</f>
        <v>104100</v>
      </c>
      <c r="G34" s="82" t="s">
        <v>23</v>
      </c>
      <c r="H34" s="64" t="s">
        <v>41</v>
      </c>
      <c r="I34" s="82">
        <v>1399</v>
      </c>
      <c r="J34" s="65" t="s">
        <v>25</v>
      </c>
      <c r="K34" s="235">
        <v>1</v>
      </c>
      <c r="L34" s="245"/>
      <c r="M34" s="244" t="s">
        <v>33</v>
      </c>
      <c r="N34" s="244"/>
      <c r="O34" s="57"/>
      <c r="P34" s="57"/>
    </row>
    <row r="35" spans="1:16" s="34" customFormat="1" ht="64.5" customHeight="1">
      <c r="A35" s="588">
        <v>29</v>
      </c>
      <c r="B35" s="43" t="s">
        <v>75</v>
      </c>
      <c r="C35" s="83"/>
      <c r="D35" s="57" t="s">
        <v>40</v>
      </c>
      <c r="E35" s="57" t="s">
        <v>153</v>
      </c>
      <c r="F35" s="184">
        <f>100* 729</f>
        <v>72900</v>
      </c>
      <c r="G35" s="82" t="s">
        <v>23</v>
      </c>
      <c r="H35" s="64" t="s">
        <v>41</v>
      </c>
      <c r="I35" s="82">
        <v>1399</v>
      </c>
      <c r="J35" s="65" t="s">
        <v>25</v>
      </c>
      <c r="K35" s="235">
        <v>1</v>
      </c>
      <c r="L35" s="245"/>
      <c r="M35" s="244" t="s">
        <v>33</v>
      </c>
      <c r="N35" s="244"/>
      <c r="O35" s="57"/>
      <c r="P35" s="57"/>
    </row>
    <row r="36" spans="1:16" s="34" customFormat="1" ht="64.5" customHeight="1">
      <c r="A36" s="588">
        <v>30</v>
      </c>
      <c r="B36" s="43" t="s">
        <v>75</v>
      </c>
      <c r="C36" s="83"/>
      <c r="D36" s="57" t="s">
        <v>40</v>
      </c>
      <c r="E36" s="57" t="s">
        <v>154</v>
      </c>
      <c r="F36" s="184">
        <f>50* 911</f>
        <v>45550</v>
      </c>
      <c r="G36" s="82" t="s">
        <v>23</v>
      </c>
      <c r="H36" s="64" t="s">
        <v>41</v>
      </c>
      <c r="I36" s="82">
        <v>1399</v>
      </c>
      <c r="J36" s="65" t="s">
        <v>25</v>
      </c>
      <c r="K36" s="235">
        <v>1</v>
      </c>
      <c r="L36" s="245"/>
      <c r="M36" s="244" t="s">
        <v>33</v>
      </c>
      <c r="N36" s="244"/>
      <c r="O36" s="57"/>
      <c r="P36" s="57"/>
    </row>
    <row r="37" spans="1:16" s="34" customFormat="1" ht="57" customHeight="1">
      <c r="A37" s="588">
        <v>31</v>
      </c>
      <c r="B37" s="43" t="s">
        <v>75</v>
      </c>
      <c r="C37" s="83"/>
      <c r="D37" s="57" t="s">
        <v>40</v>
      </c>
      <c r="E37" s="169" t="s">
        <v>511</v>
      </c>
      <c r="F37" s="184">
        <f>600* 315</f>
        <v>189000</v>
      </c>
      <c r="G37" s="82" t="s">
        <v>23</v>
      </c>
      <c r="H37" s="64" t="s">
        <v>41</v>
      </c>
      <c r="I37" s="82">
        <v>1399</v>
      </c>
      <c r="J37" s="65" t="s">
        <v>25</v>
      </c>
      <c r="K37" s="235">
        <v>1</v>
      </c>
      <c r="L37" s="245"/>
      <c r="M37" s="244" t="s">
        <v>33</v>
      </c>
      <c r="N37" s="244"/>
      <c r="O37" s="57"/>
      <c r="P37" s="57"/>
    </row>
    <row r="38" spans="1:16" s="34" customFormat="1" ht="57.6" customHeight="1">
      <c r="A38" s="588">
        <v>32</v>
      </c>
      <c r="B38" s="43" t="s">
        <v>75</v>
      </c>
      <c r="C38" s="83"/>
      <c r="D38" s="57" t="s">
        <v>40</v>
      </c>
      <c r="E38" s="169" t="s">
        <v>94</v>
      </c>
      <c r="F38" s="184">
        <f>2* 45570</f>
        <v>91140</v>
      </c>
      <c r="G38" s="82" t="s">
        <v>23</v>
      </c>
      <c r="H38" s="64" t="s">
        <v>41</v>
      </c>
      <c r="I38" s="82">
        <v>1399</v>
      </c>
      <c r="J38" s="65" t="s">
        <v>25</v>
      </c>
      <c r="K38" s="235">
        <v>1</v>
      </c>
      <c r="L38" s="247" t="s">
        <v>947</v>
      </c>
      <c r="M38" s="244" t="s">
        <v>33</v>
      </c>
      <c r="N38" s="452" t="s">
        <v>325</v>
      </c>
      <c r="O38" s="22" t="s">
        <v>993</v>
      </c>
      <c r="P38" s="58"/>
    </row>
    <row r="39" spans="1:16" s="34" customFormat="1" ht="76.150000000000006" customHeight="1">
      <c r="A39" s="588">
        <v>33</v>
      </c>
      <c r="B39" s="43" t="s">
        <v>75</v>
      </c>
      <c r="C39" s="83"/>
      <c r="D39" s="57" t="s">
        <v>40</v>
      </c>
      <c r="E39" s="169" t="s">
        <v>51</v>
      </c>
      <c r="F39" s="184">
        <f>5* 10416</f>
        <v>52080</v>
      </c>
      <c r="G39" s="82" t="s">
        <v>23</v>
      </c>
      <c r="H39" s="64" t="s">
        <v>41</v>
      </c>
      <c r="I39" s="82">
        <v>1399</v>
      </c>
      <c r="J39" s="65" t="s">
        <v>25</v>
      </c>
      <c r="K39" s="235">
        <v>1</v>
      </c>
      <c r="L39" s="247" t="s">
        <v>947</v>
      </c>
      <c r="M39" s="244" t="s">
        <v>33</v>
      </c>
      <c r="N39" s="452" t="s">
        <v>325</v>
      </c>
      <c r="O39" s="22" t="s">
        <v>993</v>
      </c>
      <c r="P39" s="57"/>
    </row>
    <row r="40" spans="1:16" s="34" customFormat="1" ht="57" customHeight="1">
      <c r="A40" s="588">
        <v>34</v>
      </c>
      <c r="B40" s="43" t="s">
        <v>75</v>
      </c>
      <c r="C40" s="83"/>
      <c r="D40" s="57" t="s">
        <v>40</v>
      </c>
      <c r="E40" s="169" t="s">
        <v>104</v>
      </c>
      <c r="F40" s="184">
        <f>10*36456</f>
        <v>364560</v>
      </c>
      <c r="G40" s="82" t="s">
        <v>23</v>
      </c>
      <c r="H40" s="64" t="s">
        <v>41</v>
      </c>
      <c r="I40" s="82">
        <v>1399</v>
      </c>
      <c r="J40" s="65" t="s">
        <v>25</v>
      </c>
      <c r="K40" s="235">
        <v>1</v>
      </c>
      <c r="L40" s="247" t="s">
        <v>947</v>
      </c>
      <c r="M40" s="244" t="s">
        <v>33</v>
      </c>
      <c r="N40" s="452" t="s">
        <v>325</v>
      </c>
      <c r="O40" s="22" t="s">
        <v>993</v>
      </c>
      <c r="P40" s="57"/>
    </row>
    <row r="41" spans="1:16" s="34" customFormat="1" ht="108">
      <c r="A41" s="588">
        <v>35</v>
      </c>
      <c r="B41" s="43" t="s">
        <v>75</v>
      </c>
      <c r="C41" s="83"/>
      <c r="D41" s="57" t="s">
        <v>40</v>
      </c>
      <c r="E41" s="169" t="s">
        <v>53</v>
      </c>
      <c r="F41" s="184">
        <f>2*2695000</f>
        <v>5390000</v>
      </c>
      <c r="G41" s="82" t="s">
        <v>23</v>
      </c>
      <c r="H41" s="64" t="s">
        <v>41</v>
      </c>
      <c r="I41" s="82">
        <v>1399</v>
      </c>
      <c r="J41" s="65" t="s">
        <v>25</v>
      </c>
      <c r="K41" s="235">
        <v>1</v>
      </c>
      <c r="L41" s="247" t="s">
        <v>947</v>
      </c>
      <c r="M41" s="244" t="s">
        <v>33</v>
      </c>
      <c r="N41" s="452" t="s">
        <v>325</v>
      </c>
      <c r="O41" s="22" t="s">
        <v>993</v>
      </c>
      <c r="P41" s="58"/>
    </row>
    <row r="42" spans="1:16" s="34" customFormat="1" ht="72">
      <c r="A42" s="588">
        <v>36</v>
      </c>
      <c r="B42" s="43" t="s">
        <v>75</v>
      </c>
      <c r="C42" s="83"/>
      <c r="D42" s="57" t="s">
        <v>40</v>
      </c>
      <c r="E42" s="169" t="s">
        <v>510</v>
      </c>
      <c r="F42" s="184">
        <f>12*66000</f>
        <v>792000</v>
      </c>
      <c r="G42" s="82" t="s">
        <v>23</v>
      </c>
      <c r="H42" s="64" t="s">
        <v>41</v>
      </c>
      <c r="I42" s="82">
        <v>1399</v>
      </c>
      <c r="J42" s="65" t="s">
        <v>25</v>
      </c>
      <c r="K42" s="235">
        <v>1</v>
      </c>
      <c r="L42" s="245"/>
      <c r="M42" s="244" t="s">
        <v>33</v>
      </c>
      <c r="N42" s="244"/>
      <c r="O42" s="57"/>
      <c r="P42" s="57"/>
    </row>
    <row r="43" spans="1:16" s="34" customFormat="1" ht="72">
      <c r="A43" s="588">
        <v>37</v>
      </c>
      <c r="B43" s="43" t="s">
        <v>75</v>
      </c>
      <c r="C43" s="83"/>
      <c r="D43" s="57" t="s">
        <v>40</v>
      </c>
      <c r="E43" s="169" t="s">
        <v>509</v>
      </c>
      <c r="F43" s="184">
        <f>24* 30000</f>
        <v>720000</v>
      </c>
      <c r="G43" s="82" t="s">
        <v>23</v>
      </c>
      <c r="H43" s="64" t="s">
        <v>41</v>
      </c>
      <c r="I43" s="82">
        <v>1399</v>
      </c>
      <c r="J43" s="65" t="s">
        <v>25</v>
      </c>
      <c r="K43" s="235">
        <v>1</v>
      </c>
      <c r="L43" s="245"/>
      <c r="M43" s="244" t="s">
        <v>33</v>
      </c>
      <c r="N43" s="244"/>
      <c r="O43" s="57"/>
      <c r="P43" s="57"/>
    </row>
    <row r="44" spans="1:16" s="34" customFormat="1" ht="108">
      <c r="A44" s="588">
        <v>38</v>
      </c>
      <c r="B44" s="43" t="s">
        <v>75</v>
      </c>
      <c r="C44" s="83"/>
      <c r="D44" s="57" t="s">
        <v>40</v>
      </c>
      <c r="E44" s="169" t="s">
        <v>508</v>
      </c>
      <c r="F44" s="184">
        <f>1560* 900</f>
        <v>1404000</v>
      </c>
      <c r="G44" s="82" t="s">
        <v>23</v>
      </c>
      <c r="H44" s="64" t="s">
        <v>41</v>
      </c>
      <c r="I44" s="82">
        <v>1399</v>
      </c>
      <c r="J44" s="65" t="s">
        <v>25</v>
      </c>
      <c r="K44" s="235">
        <v>1</v>
      </c>
      <c r="L44" s="247" t="s">
        <v>947</v>
      </c>
      <c r="M44" s="244" t="s">
        <v>33</v>
      </c>
      <c r="N44" s="452" t="s">
        <v>325</v>
      </c>
      <c r="O44" s="22" t="s">
        <v>993</v>
      </c>
      <c r="P44" s="57"/>
    </row>
    <row r="45" spans="1:16" s="34" customFormat="1" ht="256.14999999999998" customHeight="1">
      <c r="A45" s="588">
        <v>39</v>
      </c>
      <c r="B45" s="43" t="s">
        <v>75</v>
      </c>
      <c r="C45" s="83" t="s">
        <v>507</v>
      </c>
      <c r="D45" s="57" t="s">
        <v>55</v>
      </c>
      <c r="E45" s="152" t="s">
        <v>506</v>
      </c>
      <c r="F45" s="184">
        <v>341000</v>
      </c>
      <c r="G45" s="82" t="s">
        <v>23</v>
      </c>
      <c r="H45" s="64" t="s">
        <v>77</v>
      </c>
      <c r="I45" s="82">
        <v>1399</v>
      </c>
      <c r="J45" s="65" t="s">
        <v>25</v>
      </c>
      <c r="K45" s="235">
        <v>1</v>
      </c>
      <c r="L45" s="245"/>
      <c r="M45" s="244" t="s">
        <v>33</v>
      </c>
      <c r="N45" s="244"/>
      <c r="O45" s="57"/>
      <c r="P45" s="58"/>
    </row>
    <row r="46" spans="1:16" ht="36">
      <c r="A46" s="588">
        <v>40</v>
      </c>
      <c r="B46" s="6" t="s">
        <v>75</v>
      </c>
      <c r="C46" s="83"/>
      <c r="D46" s="152" t="s">
        <v>76</v>
      </c>
      <c r="E46" s="57" t="s">
        <v>505</v>
      </c>
      <c r="F46" s="185">
        <v>134397160</v>
      </c>
      <c r="G46" s="82" t="s">
        <v>23</v>
      </c>
      <c r="H46" s="65" t="s">
        <v>77</v>
      </c>
      <c r="I46" s="82">
        <v>1399</v>
      </c>
      <c r="J46" s="65" t="s">
        <v>25</v>
      </c>
      <c r="K46" s="235">
        <v>1</v>
      </c>
      <c r="L46" s="64"/>
      <c r="M46" s="244" t="s">
        <v>33</v>
      </c>
      <c r="N46" s="64"/>
      <c r="O46" s="64"/>
      <c r="P46" s="64"/>
    </row>
    <row r="47" spans="1:16" ht="45">
      <c r="A47" s="588">
        <v>41</v>
      </c>
      <c r="B47" s="6" t="s">
        <v>75</v>
      </c>
      <c r="C47" s="243" t="s">
        <v>504</v>
      </c>
      <c r="D47" s="57" t="s">
        <v>54</v>
      </c>
      <c r="E47" s="57" t="s">
        <v>503</v>
      </c>
      <c r="F47" s="242">
        <v>20961150</v>
      </c>
      <c r="G47" s="64" t="s">
        <v>23</v>
      </c>
      <c r="H47" s="64" t="s">
        <v>77</v>
      </c>
      <c r="I47" s="64">
        <v>1399</v>
      </c>
      <c r="J47" s="64" t="s">
        <v>25</v>
      </c>
      <c r="K47" s="235">
        <v>1</v>
      </c>
      <c r="L47" s="57"/>
      <c r="M47" s="244" t="s">
        <v>33</v>
      </c>
      <c r="N47" s="240"/>
      <c r="O47" s="240"/>
      <c r="P47" s="239"/>
    </row>
    <row r="48" spans="1:16" ht="72">
      <c r="A48" s="588">
        <v>42</v>
      </c>
      <c r="B48" s="6" t="s">
        <v>75</v>
      </c>
      <c r="C48" s="83"/>
      <c r="D48" s="57" t="s">
        <v>40</v>
      </c>
      <c r="E48" s="57" t="s">
        <v>499</v>
      </c>
      <c r="F48" s="185">
        <v>2000000</v>
      </c>
      <c r="G48" s="82" t="s">
        <v>23</v>
      </c>
      <c r="H48" s="65" t="s">
        <v>495</v>
      </c>
      <c r="I48" s="82">
        <v>1399</v>
      </c>
      <c r="J48" s="65" t="s">
        <v>25</v>
      </c>
      <c r="K48" s="235">
        <v>1</v>
      </c>
      <c r="L48" s="64"/>
      <c r="M48" s="244" t="s">
        <v>33</v>
      </c>
      <c r="N48" s="64"/>
      <c r="O48" s="64"/>
      <c r="P48" s="64"/>
    </row>
    <row r="49" spans="1:16" ht="72">
      <c r="A49" s="588">
        <v>43</v>
      </c>
      <c r="B49" s="6" t="s">
        <v>75</v>
      </c>
      <c r="C49" s="83"/>
      <c r="D49" s="57" t="s">
        <v>40</v>
      </c>
      <c r="E49" s="57" t="s">
        <v>498</v>
      </c>
      <c r="F49" s="185">
        <v>515076</v>
      </c>
      <c r="G49" s="82" t="s">
        <v>23</v>
      </c>
      <c r="H49" s="65" t="s">
        <v>495</v>
      </c>
      <c r="I49" s="82">
        <v>1399</v>
      </c>
      <c r="J49" s="65" t="s">
        <v>25</v>
      </c>
      <c r="K49" s="235">
        <v>1</v>
      </c>
      <c r="L49" s="64"/>
      <c r="M49" s="244" t="s">
        <v>33</v>
      </c>
      <c r="N49" s="64"/>
      <c r="O49" s="64"/>
      <c r="P49" s="64"/>
    </row>
    <row r="50" spans="1:16" ht="72">
      <c r="A50" s="588">
        <v>44</v>
      </c>
      <c r="B50" s="6" t="s">
        <v>75</v>
      </c>
      <c r="C50" s="83"/>
      <c r="D50" s="57" t="s">
        <v>40</v>
      </c>
      <c r="E50" s="57" t="s">
        <v>497</v>
      </c>
      <c r="F50" s="185">
        <v>633888</v>
      </c>
      <c r="G50" s="82" t="s">
        <v>23</v>
      </c>
      <c r="H50" s="65" t="s">
        <v>495</v>
      </c>
      <c r="I50" s="82">
        <v>1399</v>
      </c>
      <c r="J50" s="65" t="s">
        <v>25</v>
      </c>
      <c r="K50" s="235">
        <v>1</v>
      </c>
      <c r="L50" s="64"/>
      <c r="M50" s="244" t="s">
        <v>33</v>
      </c>
      <c r="N50" s="64"/>
      <c r="O50" s="64"/>
      <c r="P50" s="64"/>
    </row>
    <row r="51" spans="1:16" ht="72">
      <c r="A51" s="588">
        <v>45</v>
      </c>
      <c r="B51" s="6" t="s">
        <v>75</v>
      </c>
      <c r="C51" s="83"/>
      <c r="D51" s="57" t="s">
        <v>40</v>
      </c>
      <c r="E51" s="57" t="s">
        <v>496</v>
      </c>
      <c r="F51" s="185">
        <v>90000</v>
      </c>
      <c r="G51" s="82" t="s">
        <v>23</v>
      </c>
      <c r="H51" s="65" t="s">
        <v>495</v>
      </c>
      <c r="I51" s="82">
        <v>1399</v>
      </c>
      <c r="J51" s="65" t="s">
        <v>25</v>
      </c>
      <c r="K51" s="235">
        <v>1</v>
      </c>
      <c r="L51" s="64"/>
      <c r="M51" s="244" t="s">
        <v>33</v>
      </c>
      <c r="N51" s="64"/>
      <c r="O51" s="64"/>
      <c r="P51" s="64"/>
    </row>
    <row r="52" spans="1:16" s="34" customFormat="1" ht="71.45" customHeight="1">
      <c r="A52" s="588">
        <v>46</v>
      </c>
      <c r="B52" s="43" t="s">
        <v>75</v>
      </c>
      <c r="C52" s="458" t="s">
        <v>1371</v>
      </c>
      <c r="D52" s="456" t="s">
        <v>111</v>
      </c>
      <c r="E52" s="169" t="s">
        <v>1372</v>
      </c>
      <c r="F52" s="184">
        <v>154000</v>
      </c>
      <c r="G52" s="82" t="s">
        <v>23</v>
      </c>
      <c r="H52" s="466" t="s">
        <v>77</v>
      </c>
      <c r="I52" s="82">
        <v>1399</v>
      </c>
      <c r="J52" s="468" t="s">
        <v>25</v>
      </c>
      <c r="K52" s="235">
        <v>1</v>
      </c>
      <c r="L52" s="82"/>
      <c r="M52" s="244" t="s">
        <v>33</v>
      </c>
      <c r="N52" s="33"/>
      <c r="O52" s="33"/>
      <c r="P52" s="459"/>
    </row>
    <row r="53" spans="1:16" s="34" customFormat="1" ht="54">
      <c r="A53" s="588">
        <v>47</v>
      </c>
      <c r="B53" s="43" t="s">
        <v>75</v>
      </c>
      <c r="C53" s="354" t="s">
        <v>1373</v>
      </c>
      <c r="D53" s="456" t="s">
        <v>111</v>
      </c>
      <c r="E53" s="169" t="s">
        <v>112</v>
      </c>
      <c r="F53" s="184">
        <v>240000</v>
      </c>
      <c r="G53" s="82" t="s">
        <v>23</v>
      </c>
      <c r="H53" s="466" t="s">
        <v>77</v>
      </c>
      <c r="I53" s="82">
        <v>1400</v>
      </c>
      <c r="J53" s="468" t="s">
        <v>25</v>
      </c>
      <c r="K53" s="235">
        <v>1</v>
      </c>
      <c r="L53" s="105"/>
      <c r="M53" s="244" t="s">
        <v>33</v>
      </c>
      <c r="N53" s="33"/>
      <c r="O53" s="33"/>
      <c r="P53" s="459"/>
    </row>
    <row r="54" spans="1:16" s="34" customFormat="1" ht="65.25" customHeight="1">
      <c r="A54" s="588">
        <v>48</v>
      </c>
      <c r="B54" s="43" t="s">
        <v>75</v>
      </c>
      <c r="C54" s="714" t="s">
        <v>1375</v>
      </c>
      <c r="D54" s="635" t="s">
        <v>500</v>
      </c>
      <c r="E54" s="635" t="s">
        <v>1376</v>
      </c>
      <c r="F54" s="37">
        <v>1422582</v>
      </c>
      <c r="G54" s="718" t="s">
        <v>23</v>
      </c>
      <c r="H54" s="33" t="s">
        <v>393</v>
      </c>
      <c r="I54" s="718">
        <v>1400</v>
      </c>
      <c r="J54" s="22" t="s">
        <v>25</v>
      </c>
      <c r="K54" s="109">
        <v>1</v>
      </c>
      <c r="L54" s="105"/>
      <c r="M54" s="635" t="s">
        <v>71</v>
      </c>
      <c r="N54" s="33"/>
      <c r="O54" s="44"/>
      <c r="P54" s="440" t="s">
        <v>17</v>
      </c>
    </row>
    <row r="55" spans="1:16" s="34" customFormat="1" ht="64.150000000000006" customHeight="1">
      <c r="A55" s="588">
        <v>49</v>
      </c>
      <c r="B55" s="43" t="s">
        <v>75</v>
      </c>
      <c r="C55" s="714" t="s">
        <v>1377</v>
      </c>
      <c r="D55" s="635" t="s">
        <v>500</v>
      </c>
      <c r="E55" s="22" t="s">
        <v>1378</v>
      </c>
      <c r="F55" s="22">
        <v>5390000</v>
      </c>
      <c r="G55" s="22" t="s">
        <v>23</v>
      </c>
      <c r="H55" s="22" t="s">
        <v>393</v>
      </c>
      <c r="I55" s="22">
        <v>1399</v>
      </c>
      <c r="J55" s="22" t="s">
        <v>25</v>
      </c>
      <c r="K55" s="109">
        <v>1</v>
      </c>
      <c r="L55" s="440"/>
      <c r="M55" s="635" t="s">
        <v>71</v>
      </c>
      <c r="N55" s="635"/>
      <c r="O55" s="635"/>
      <c r="P55" s="110"/>
    </row>
    <row r="56" spans="1:16" s="34" customFormat="1" ht="51" customHeight="1">
      <c r="A56" s="588">
        <v>50</v>
      </c>
      <c r="B56" s="43" t="s">
        <v>75</v>
      </c>
      <c r="C56" s="714"/>
      <c r="D56" s="635" t="s">
        <v>500</v>
      </c>
      <c r="E56" s="635" t="s">
        <v>502</v>
      </c>
      <c r="F56" s="37">
        <v>1540000</v>
      </c>
      <c r="G56" s="718" t="s">
        <v>23</v>
      </c>
      <c r="H56" s="33" t="s">
        <v>393</v>
      </c>
      <c r="I56" s="718">
        <v>1400</v>
      </c>
      <c r="J56" s="22" t="s">
        <v>25</v>
      </c>
      <c r="K56" s="24" t="s">
        <v>17</v>
      </c>
      <c r="L56" s="440" t="s">
        <v>72</v>
      </c>
      <c r="M56" s="33"/>
      <c r="N56" s="22" t="s">
        <v>325</v>
      </c>
      <c r="O56" s="22" t="s">
        <v>56</v>
      </c>
      <c r="P56" s="110"/>
    </row>
    <row r="57" spans="1:16" s="34" customFormat="1" ht="51" customHeight="1">
      <c r="A57" s="588">
        <v>51</v>
      </c>
      <c r="B57" s="43" t="s">
        <v>75</v>
      </c>
      <c r="C57" s="714"/>
      <c r="D57" s="635" t="s">
        <v>500</v>
      </c>
      <c r="E57" s="635" t="s">
        <v>501</v>
      </c>
      <c r="F57" s="37">
        <v>1540000</v>
      </c>
      <c r="G57" s="718" t="s">
        <v>23</v>
      </c>
      <c r="H57" s="33" t="s">
        <v>393</v>
      </c>
      <c r="I57" s="718">
        <v>1400</v>
      </c>
      <c r="J57" s="22" t="s">
        <v>25</v>
      </c>
      <c r="K57" s="24" t="s">
        <v>17</v>
      </c>
      <c r="L57" s="440" t="s">
        <v>72</v>
      </c>
      <c r="M57" s="33"/>
      <c r="N57" s="22" t="s">
        <v>325</v>
      </c>
      <c r="O57" s="22" t="s">
        <v>56</v>
      </c>
      <c r="P57" s="110"/>
    </row>
    <row r="58" spans="1:16" s="34" customFormat="1" ht="51" customHeight="1">
      <c r="A58" s="588">
        <v>52</v>
      </c>
      <c r="B58" s="43" t="s">
        <v>75</v>
      </c>
      <c r="C58" s="714" t="s">
        <v>1379</v>
      </c>
      <c r="D58" s="635" t="s">
        <v>500</v>
      </c>
      <c r="E58" s="635" t="s">
        <v>1380</v>
      </c>
      <c r="F58" s="37">
        <v>316000</v>
      </c>
      <c r="G58" s="718" t="s">
        <v>23</v>
      </c>
      <c r="H58" s="33" t="s">
        <v>393</v>
      </c>
      <c r="I58" s="718">
        <v>1399</v>
      </c>
      <c r="J58" s="22" t="s">
        <v>25</v>
      </c>
      <c r="K58" s="24">
        <v>1</v>
      </c>
      <c r="L58" s="718"/>
      <c r="M58" s="635" t="s">
        <v>1374</v>
      </c>
      <c r="N58" s="33"/>
      <c r="O58" s="33"/>
      <c r="P58" s="110"/>
    </row>
    <row r="59" spans="1:16" s="34" customFormat="1" ht="50.25" customHeight="1">
      <c r="A59" s="588">
        <v>53</v>
      </c>
      <c r="B59" s="43" t="s">
        <v>75</v>
      </c>
      <c r="C59" s="714"/>
      <c r="D59" s="635" t="s">
        <v>500</v>
      </c>
      <c r="E59" s="635" t="s">
        <v>1381</v>
      </c>
      <c r="F59" s="37">
        <v>3850000</v>
      </c>
      <c r="G59" s="718" t="s">
        <v>23</v>
      </c>
      <c r="H59" s="33" t="s">
        <v>393</v>
      </c>
      <c r="I59" s="718">
        <v>1399</v>
      </c>
      <c r="J59" s="22" t="s">
        <v>25</v>
      </c>
      <c r="K59" s="24" t="s">
        <v>17</v>
      </c>
      <c r="L59" s="440" t="s">
        <v>72</v>
      </c>
      <c r="M59" s="635"/>
      <c r="N59" s="635" t="s">
        <v>1866</v>
      </c>
      <c r="O59" s="635" t="s">
        <v>56</v>
      </c>
      <c r="P59" s="110"/>
    </row>
    <row r="60" spans="1:16" s="34" customFormat="1" ht="50.45" customHeight="1">
      <c r="A60" s="588">
        <v>54</v>
      </c>
      <c r="B60" s="43" t="s">
        <v>75</v>
      </c>
      <c r="C60" s="714"/>
      <c r="D60" s="635" t="s">
        <v>500</v>
      </c>
      <c r="E60" s="40" t="s">
        <v>1382</v>
      </c>
      <c r="F60" s="886" t="s">
        <v>399</v>
      </c>
      <c r="G60" s="718" t="s">
        <v>23</v>
      </c>
      <c r="H60" s="33" t="s">
        <v>393</v>
      </c>
      <c r="I60" s="718">
        <v>1399</v>
      </c>
      <c r="J60" s="22" t="s">
        <v>25</v>
      </c>
      <c r="K60" s="24">
        <v>0</v>
      </c>
      <c r="L60" s="718"/>
      <c r="M60" s="635" t="s">
        <v>1383</v>
      </c>
      <c r="N60" s="33"/>
      <c r="O60" s="33"/>
      <c r="P60" s="660" t="s">
        <v>1947</v>
      </c>
    </row>
    <row r="61" spans="1:16" s="34" customFormat="1" ht="75">
      <c r="A61" s="588">
        <v>55</v>
      </c>
      <c r="B61" s="43" t="s">
        <v>75</v>
      </c>
      <c r="C61" s="714"/>
      <c r="D61" s="635" t="s">
        <v>500</v>
      </c>
      <c r="E61" s="40" t="s">
        <v>1384</v>
      </c>
      <c r="F61" s="886"/>
      <c r="G61" s="718" t="s">
        <v>23</v>
      </c>
      <c r="H61" s="33" t="s">
        <v>393</v>
      </c>
      <c r="I61" s="718">
        <v>1399</v>
      </c>
      <c r="J61" s="22" t="s">
        <v>25</v>
      </c>
      <c r="K61" s="24">
        <v>0</v>
      </c>
      <c r="L61" s="718"/>
      <c r="M61" s="635" t="s">
        <v>1383</v>
      </c>
      <c r="N61" s="33"/>
      <c r="O61" s="33"/>
      <c r="P61" s="660" t="s">
        <v>1947</v>
      </c>
    </row>
    <row r="62" spans="1:16" s="34" customFormat="1" ht="75">
      <c r="A62" s="588">
        <v>56</v>
      </c>
      <c r="B62" s="43" t="s">
        <v>75</v>
      </c>
      <c r="C62" s="714"/>
      <c r="D62" s="635" t="s">
        <v>500</v>
      </c>
      <c r="E62" s="40" t="s">
        <v>397</v>
      </c>
      <c r="F62" s="886"/>
      <c r="G62" s="718" t="s">
        <v>23</v>
      </c>
      <c r="H62" s="33" t="s">
        <v>393</v>
      </c>
      <c r="I62" s="718">
        <v>1399</v>
      </c>
      <c r="J62" s="22" t="s">
        <v>25</v>
      </c>
      <c r="K62" s="24">
        <v>0</v>
      </c>
      <c r="L62" s="718"/>
      <c r="M62" s="635" t="s">
        <v>1383</v>
      </c>
      <c r="N62" s="33"/>
      <c r="O62" s="33"/>
      <c r="P62" s="660" t="s">
        <v>1136</v>
      </c>
    </row>
    <row r="63" spans="1:16" s="34" customFormat="1" ht="75">
      <c r="A63" s="588">
        <v>57</v>
      </c>
      <c r="B63" s="43" t="s">
        <v>75</v>
      </c>
      <c r="C63" s="714"/>
      <c r="D63" s="635" t="s">
        <v>500</v>
      </c>
      <c r="E63" s="40" t="s">
        <v>396</v>
      </c>
      <c r="F63" s="886"/>
      <c r="G63" s="718" t="s">
        <v>23</v>
      </c>
      <c r="H63" s="33" t="s">
        <v>393</v>
      </c>
      <c r="I63" s="718">
        <v>1399</v>
      </c>
      <c r="J63" s="22" t="s">
        <v>25</v>
      </c>
      <c r="K63" s="24">
        <v>0</v>
      </c>
      <c r="L63" s="718"/>
      <c r="M63" s="635" t="s">
        <v>1383</v>
      </c>
      <c r="N63" s="33"/>
      <c r="O63" s="33"/>
      <c r="P63" s="660" t="s">
        <v>1136</v>
      </c>
    </row>
    <row r="64" spans="1:16" s="34" customFormat="1" ht="75">
      <c r="A64" s="588">
        <v>58</v>
      </c>
      <c r="B64" s="43" t="s">
        <v>75</v>
      </c>
      <c r="C64" s="714"/>
      <c r="D64" s="635" t="s">
        <v>500</v>
      </c>
      <c r="E64" s="40" t="s">
        <v>395</v>
      </c>
      <c r="F64" s="886"/>
      <c r="G64" s="718" t="s">
        <v>23</v>
      </c>
      <c r="H64" s="33" t="s">
        <v>393</v>
      </c>
      <c r="I64" s="718">
        <v>1399</v>
      </c>
      <c r="J64" s="22" t="s">
        <v>25</v>
      </c>
      <c r="K64" s="24">
        <v>0</v>
      </c>
      <c r="L64" s="718" t="s">
        <v>17</v>
      </c>
      <c r="M64" s="635" t="s">
        <v>1383</v>
      </c>
      <c r="N64" s="33"/>
      <c r="O64" s="33"/>
      <c r="P64" s="660" t="s">
        <v>1136</v>
      </c>
    </row>
    <row r="65" spans="1:16" s="34" customFormat="1" ht="75">
      <c r="A65" s="588">
        <v>59</v>
      </c>
      <c r="B65" s="43" t="s">
        <v>75</v>
      </c>
      <c r="C65" s="714"/>
      <c r="D65" s="635" t="s">
        <v>500</v>
      </c>
      <c r="E65" s="40" t="s">
        <v>394</v>
      </c>
      <c r="F65" s="886"/>
      <c r="G65" s="718" t="s">
        <v>23</v>
      </c>
      <c r="H65" s="33" t="s">
        <v>393</v>
      </c>
      <c r="I65" s="718">
        <v>1399</v>
      </c>
      <c r="J65" s="22" t="s">
        <v>25</v>
      </c>
      <c r="K65" s="24">
        <v>0</v>
      </c>
      <c r="L65" s="718" t="s">
        <v>17</v>
      </c>
      <c r="M65" s="635" t="s">
        <v>1383</v>
      </c>
      <c r="N65" s="33"/>
      <c r="O65" s="33"/>
      <c r="P65" s="660" t="s">
        <v>1136</v>
      </c>
    </row>
    <row r="66" spans="1:16" s="559" customFormat="1" ht="108" customHeight="1">
      <c r="A66" s="588">
        <v>60</v>
      </c>
      <c r="B66" s="237" t="s">
        <v>20</v>
      </c>
      <c r="C66" s="196"/>
      <c r="D66" s="196" t="s">
        <v>1473</v>
      </c>
      <c r="E66" s="237" t="s">
        <v>1013</v>
      </c>
      <c r="F66" s="259">
        <v>385370</v>
      </c>
      <c r="G66" s="354" t="s">
        <v>23</v>
      </c>
      <c r="H66" s="476" t="s">
        <v>24</v>
      </c>
      <c r="I66" s="354">
        <v>1399</v>
      </c>
      <c r="J66" s="556" t="s">
        <v>25</v>
      </c>
      <c r="K66" s="163">
        <v>1</v>
      </c>
      <c r="L66" s="33"/>
      <c r="M66" s="33" t="s">
        <v>33</v>
      </c>
      <c r="N66" s="33"/>
      <c r="O66" s="236"/>
      <c r="P66" s="560"/>
    </row>
    <row r="67" spans="1:16" s="559" customFormat="1" ht="61.5" customHeight="1">
      <c r="A67" s="588">
        <v>61</v>
      </c>
      <c r="B67" s="43" t="s">
        <v>75</v>
      </c>
      <c r="C67" s="354"/>
      <c r="D67" s="236" t="s">
        <v>73</v>
      </c>
      <c r="E67" s="236" t="s">
        <v>142</v>
      </c>
      <c r="F67" s="105">
        <v>1282840</v>
      </c>
      <c r="G67" s="561" t="s">
        <v>23</v>
      </c>
      <c r="H67" s="33" t="s">
        <v>77</v>
      </c>
      <c r="I67" s="561">
        <v>1399</v>
      </c>
      <c r="J67" s="22" t="s">
        <v>25</v>
      </c>
      <c r="K67" s="265"/>
      <c r="L67" s="561" t="s">
        <v>72</v>
      </c>
      <c r="M67" s="564"/>
      <c r="N67" s="623" t="s">
        <v>581</v>
      </c>
      <c r="O67" s="236" t="s">
        <v>1842</v>
      </c>
      <c r="P67" s="560"/>
    </row>
    <row r="68" spans="1:16" ht="18">
      <c r="K68" s="235"/>
    </row>
  </sheetData>
  <autoFilter ref="D1:D47"/>
  <mergeCells count="16">
    <mergeCell ref="F60:F65"/>
    <mergeCell ref="N5:N6"/>
    <mergeCell ref="O5:O6"/>
    <mergeCell ref="O14:O15"/>
    <mergeCell ref="A1:P4"/>
    <mergeCell ref="A5:A6"/>
    <mergeCell ref="B5:B6"/>
    <mergeCell ref="C5:C6"/>
    <mergeCell ref="D5:D6"/>
    <mergeCell ref="E5:E6"/>
    <mergeCell ref="F5:H5"/>
    <mergeCell ref="P5:P6"/>
    <mergeCell ref="I5:I6"/>
    <mergeCell ref="J5:J6"/>
    <mergeCell ref="K5:K6"/>
    <mergeCell ref="L5:M5"/>
  </mergeCells>
  <conditionalFormatting sqref="K69:K1048576 K1:K6">
    <cfRule type="colorScale" priority="8">
      <colorScale>
        <cfvo type="min" val="0"/>
        <cfvo type="percentile" val="50"/>
        <cfvo type="max" val="0"/>
        <color rgb="FFF8696B"/>
        <color rgb="FFFFEB84"/>
        <color rgb="FF63BE7B"/>
      </colorScale>
    </cfRule>
  </conditionalFormatting>
  <conditionalFormatting sqref="K69:K1048576">
    <cfRule type="colorScale" priority="3">
      <colorScale>
        <cfvo type="min" val="0"/>
        <cfvo type="percentile" val="50"/>
        <cfvo type="max" val="0"/>
        <color rgb="FFF8696B"/>
        <color rgb="FFFFEB84"/>
        <color rgb="FF63BE7B"/>
      </colorScale>
    </cfRule>
  </conditionalFormatting>
  <printOptions horizontalCentered="1"/>
  <pageMargins left="0.2" right="0.2" top="0.5" bottom="0.5" header="0.3" footer="0.3"/>
  <pageSetup paperSize="9" scale="55" orientation="landscape" r:id="rId1"/>
  <headerFooter>
    <oddFooter>&amp;C&amp;P</oddFooter>
  </headerFooter>
</worksheet>
</file>

<file path=xl/worksheets/sheet29.xml><?xml version="1.0" encoding="utf-8"?>
<worksheet xmlns="http://schemas.openxmlformats.org/spreadsheetml/2006/main" xmlns:r="http://schemas.openxmlformats.org/officeDocument/2006/relationships">
  <sheetPr>
    <tabColor rgb="FF92D050"/>
  </sheetPr>
  <dimension ref="A1:AF55"/>
  <sheetViews>
    <sheetView rightToLeft="1" view="pageBreakPreview" zoomScale="70" zoomScaleSheetLayoutView="70" workbookViewId="0">
      <pane ySplit="5" topLeftCell="A50" activePane="bottomLeft" state="frozen"/>
      <selection pane="bottomLeft" activeCell="M56" sqref="M56"/>
    </sheetView>
  </sheetViews>
  <sheetFormatPr defaultColWidth="9.140625" defaultRowHeight="15"/>
  <cols>
    <col min="1" max="1" width="6.85546875" style="1" customWidth="1"/>
    <col min="2" max="2" width="13.42578125" style="10" customWidth="1"/>
    <col min="3" max="3" width="7.5703125" style="10" customWidth="1"/>
    <col min="4" max="4" width="14" style="10" customWidth="1"/>
    <col min="5" max="5" width="32.140625" style="10" customWidth="1"/>
    <col min="6" max="6" width="17" style="160" customWidth="1"/>
    <col min="7" max="7" width="10.28515625" style="2" customWidth="1"/>
    <col min="8" max="8" width="9.140625" style="2" customWidth="1"/>
    <col min="9" max="9" width="13.85546875" style="1" customWidth="1"/>
    <col min="10" max="10" width="15" style="1" customWidth="1"/>
    <col min="11" max="11" width="13.28515625" style="1" customWidth="1"/>
    <col min="12" max="12" width="12.28515625" style="11" customWidth="1"/>
    <col min="13" max="13" width="17.42578125" style="11" bestFit="1" customWidth="1"/>
    <col min="14" max="14" width="25.140625" style="11" customWidth="1"/>
    <col min="15" max="15" width="20.42578125" style="11" customWidth="1"/>
    <col min="16" max="16" width="23.28515625" style="145" customWidth="1"/>
    <col min="17" max="16384" width="9.140625" style="145"/>
  </cols>
  <sheetData>
    <row r="1" spans="1:16">
      <c r="A1" s="826" t="s">
        <v>1976</v>
      </c>
      <c r="B1" s="827"/>
      <c r="C1" s="827"/>
      <c r="D1" s="827"/>
      <c r="E1" s="827"/>
      <c r="F1" s="827"/>
      <c r="G1" s="827"/>
      <c r="H1" s="827"/>
      <c r="I1" s="827"/>
      <c r="J1" s="827"/>
      <c r="K1" s="827"/>
      <c r="L1" s="827"/>
      <c r="M1" s="827"/>
      <c r="N1" s="827"/>
      <c r="O1" s="827"/>
      <c r="P1" s="827"/>
    </row>
    <row r="2" spans="1:16" ht="36" customHeight="1">
      <c r="A2" s="827"/>
      <c r="B2" s="827"/>
      <c r="C2" s="827"/>
      <c r="D2" s="827"/>
      <c r="E2" s="827"/>
      <c r="F2" s="827"/>
      <c r="G2" s="827"/>
      <c r="H2" s="827"/>
      <c r="I2" s="827"/>
      <c r="J2" s="827"/>
      <c r="K2" s="827"/>
      <c r="L2" s="827"/>
      <c r="M2" s="827"/>
      <c r="N2" s="827"/>
      <c r="O2" s="827"/>
      <c r="P2" s="827"/>
    </row>
    <row r="3" spans="1:16">
      <c r="A3" s="828"/>
      <c r="B3" s="828"/>
      <c r="C3" s="828"/>
      <c r="D3" s="828"/>
      <c r="E3" s="828"/>
      <c r="F3" s="828"/>
      <c r="G3" s="828"/>
      <c r="H3" s="828"/>
      <c r="I3" s="828"/>
      <c r="J3" s="828"/>
      <c r="K3" s="828"/>
      <c r="L3" s="828"/>
      <c r="M3" s="828"/>
      <c r="N3" s="828"/>
      <c r="O3" s="828"/>
      <c r="P3" s="828"/>
    </row>
    <row r="4" spans="1:16" ht="25.9" customHeight="1">
      <c r="A4" s="791" t="s">
        <v>0</v>
      </c>
      <c r="B4" s="791" t="s">
        <v>14</v>
      </c>
      <c r="C4" s="791" t="s">
        <v>18</v>
      </c>
      <c r="D4" s="791" t="s">
        <v>1</v>
      </c>
      <c r="E4" s="791" t="s">
        <v>15</v>
      </c>
      <c r="F4" s="791" t="s">
        <v>9</v>
      </c>
      <c r="G4" s="791"/>
      <c r="H4" s="791"/>
      <c r="I4" s="791" t="s">
        <v>7</v>
      </c>
      <c r="J4" s="791" t="s">
        <v>6</v>
      </c>
      <c r="K4" s="791" t="s">
        <v>16</v>
      </c>
      <c r="L4" s="791" t="s">
        <v>2</v>
      </c>
      <c r="M4" s="791"/>
      <c r="N4" s="791" t="s">
        <v>5</v>
      </c>
      <c r="O4" s="791" t="s">
        <v>13</v>
      </c>
      <c r="P4" s="791" t="s">
        <v>8</v>
      </c>
    </row>
    <row r="5" spans="1:16" ht="41.45" customHeight="1">
      <c r="A5" s="791"/>
      <c r="B5" s="791"/>
      <c r="C5" s="791"/>
      <c r="D5" s="791"/>
      <c r="E5" s="791"/>
      <c r="F5" s="146" t="s">
        <v>10</v>
      </c>
      <c r="G5" s="146" t="s">
        <v>11</v>
      </c>
      <c r="H5" s="146" t="s">
        <v>12</v>
      </c>
      <c r="I5" s="791"/>
      <c r="J5" s="791"/>
      <c r="K5" s="791"/>
      <c r="L5" s="146" t="s">
        <v>3</v>
      </c>
      <c r="M5" s="146" t="s">
        <v>4</v>
      </c>
      <c r="N5" s="791"/>
      <c r="O5" s="791"/>
      <c r="P5" s="791"/>
    </row>
    <row r="6" spans="1:16" s="5" customFormat="1" ht="54">
      <c r="A6" s="583">
        <v>1</v>
      </c>
      <c r="B6" s="90" t="s">
        <v>144</v>
      </c>
      <c r="C6" s="90"/>
      <c r="D6" s="22" t="s">
        <v>1619</v>
      </c>
      <c r="E6" s="611" t="s">
        <v>1762</v>
      </c>
      <c r="F6" s="47">
        <v>1920000</v>
      </c>
      <c r="G6" s="578" t="s">
        <v>23</v>
      </c>
      <c r="H6" s="578" t="s">
        <v>77</v>
      </c>
      <c r="I6" s="578">
        <v>1399</v>
      </c>
      <c r="J6" s="578" t="s">
        <v>25</v>
      </c>
      <c r="K6" s="97">
        <v>1</v>
      </c>
      <c r="L6" s="32"/>
      <c r="M6" s="32" t="s">
        <v>370</v>
      </c>
      <c r="N6" s="592"/>
      <c r="O6" s="592"/>
      <c r="P6" s="480"/>
    </row>
    <row r="7" spans="1:16" s="5" customFormat="1" ht="54">
      <c r="A7" s="583">
        <v>2</v>
      </c>
      <c r="B7" s="90" t="s">
        <v>144</v>
      </c>
      <c r="C7" s="90"/>
      <c r="D7" s="22" t="s">
        <v>1619</v>
      </c>
      <c r="E7" s="611" t="s">
        <v>1763</v>
      </c>
      <c r="F7" s="47">
        <v>228800</v>
      </c>
      <c r="G7" s="578" t="s">
        <v>23</v>
      </c>
      <c r="H7" s="578" t="s">
        <v>77</v>
      </c>
      <c r="I7" s="578">
        <v>1399</v>
      </c>
      <c r="J7" s="578" t="s">
        <v>25</v>
      </c>
      <c r="K7" s="97">
        <v>1</v>
      </c>
      <c r="L7" s="32"/>
      <c r="M7" s="32" t="s">
        <v>370</v>
      </c>
      <c r="N7" s="592"/>
      <c r="O7" s="592"/>
      <c r="P7" s="480"/>
    </row>
    <row r="8" spans="1:16" s="5" customFormat="1" ht="72">
      <c r="A8" s="588">
        <v>3</v>
      </c>
      <c r="B8" s="90" t="s">
        <v>144</v>
      </c>
      <c r="C8" s="90"/>
      <c r="D8" s="22" t="s">
        <v>1619</v>
      </c>
      <c r="E8" s="611" t="s">
        <v>1764</v>
      </c>
      <c r="F8" s="47">
        <v>60000</v>
      </c>
      <c r="G8" s="578" t="s">
        <v>23</v>
      </c>
      <c r="H8" s="578" t="s">
        <v>77</v>
      </c>
      <c r="I8" s="578">
        <v>1399</v>
      </c>
      <c r="J8" s="578" t="s">
        <v>25</v>
      </c>
      <c r="K8" s="97">
        <v>1</v>
      </c>
      <c r="L8" s="32"/>
      <c r="M8" s="32" t="s">
        <v>370</v>
      </c>
      <c r="N8" s="592"/>
      <c r="O8" s="592"/>
      <c r="P8" s="480"/>
    </row>
    <row r="9" spans="1:16" s="5" customFormat="1" ht="54">
      <c r="A9" s="588">
        <v>4</v>
      </c>
      <c r="B9" s="90" t="s">
        <v>144</v>
      </c>
      <c r="C9" s="90" t="s">
        <v>1765</v>
      </c>
      <c r="D9" s="22" t="s">
        <v>1766</v>
      </c>
      <c r="E9" s="40" t="s">
        <v>1479</v>
      </c>
      <c r="F9" s="47">
        <v>268166.66666666663</v>
      </c>
      <c r="G9" s="578" t="s">
        <v>23</v>
      </c>
      <c r="H9" s="578" t="s">
        <v>77</v>
      </c>
      <c r="I9" s="578">
        <v>1399</v>
      </c>
      <c r="J9" s="578" t="s">
        <v>25</v>
      </c>
      <c r="K9" s="97">
        <v>1</v>
      </c>
      <c r="L9" s="32"/>
      <c r="M9" s="32" t="s">
        <v>370</v>
      </c>
      <c r="N9" s="592"/>
      <c r="O9" s="592"/>
      <c r="P9" s="480"/>
    </row>
    <row r="10" spans="1:16" s="574" customFormat="1" ht="72">
      <c r="A10" s="588">
        <v>5</v>
      </c>
      <c r="B10" s="90" t="s">
        <v>144</v>
      </c>
      <c r="C10" s="90" t="s">
        <v>1767</v>
      </c>
      <c r="D10" s="22" t="s">
        <v>1517</v>
      </c>
      <c r="E10" s="22" t="s">
        <v>1768</v>
      </c>
      <c r="F10" s="47">
        <v>12196322</v>
      </c>
      <c r="G10" s="578" t="s">
        <v>23</v>
      </c>
      <c r="H10" s="578" t="s">
        <v>77</v>
      </c>
      <c r="I10" s="578">
        <v>1399</v>
      </c>
      <c r="J10" s="578" t="s">
        <v>25</v>
      </c>
      <c r="K10" s="97">
        <v>1</v>
      </c>
      <c r="L10" s="592"/>
      <c r="M10" s="32" t="s">
        <v>370</v>
      </c>
      <c r="N10" s="592"/>
      <c r="O10" s="592"/>
      <c r="P10" s="480"/>
    </row>
    <row r="11" spans="1:16" s="574" customFormat="1" ht="72">
      <c r="A11" s="588">
        <v>6</v>
      </c>
      <c r="B11" s="90" t="s">
        <v>144</v>
      </c>
      <c r="C11" s="90" t="s">
        <v>1769</v>
      </c>
      <c r="D11" s="22" t="s">
        <v>1517</v>
      </c>
      <c r="E11" s="22" t="s">
        <v>1770</v>
      </c>
      <c r="F11" s="47">
        <v>4251890</v>
      </c>
      <c r="G11" s="578" t="s">
        <v>23</v>
      </c>
      <c r="H11" s="578" t="s">
        <v>77</v>
      </c>
      <c r="I11" s="578">
        <v>1399</v>
      </c>
      <c r="J11" s="578" t="s">
        <v>25</v>
      </c>
      <c r="K11" s="97">
        <v>1</v>
      </c>
      <c r="L11" s="592"/>
      <c r="M11" s="32" t="s">
        <v>370</v>
      </c>
      <c r="N11" s="592"/>
      <c r="O11" s="592"/>
      <c r="P11" s="480"/>
    </row>
    <row r="12" spans="1:16" s="574" customFormat="1" ht="36">
      <c r="A12" s="588">
        <v>7</v>
      </c>
      <c r="B12" s="90" t="s">
        <v>144</v>
      </c>
      <c r="C12" s="90" t="s">
        <v>1771</v>
      </c>
      <c r="D12" s="22" t="s">
        <v>1517</v>
      </c>
      <c r="E12" s="22" t="s">
        <v>1772</v>
      </c>
      <c r="F12" s="47">
        <v>3595496</v>
      </c>
      <c r="G12" s="578" t="s">
        <v>23</v>
      </c>
      <c r="H12" s="578" t="s">
        <v>77</v>
      </c>
      <c r="I12" s="578">
        <v>1399</v>
      </c>
      <c r="J12" s="578" t="s">
        <v>25</v>
      </c>
      <c r="K12" s="97">
        <v>1</v>
      </c>
      <c r="L12" s="592"/>
      <c r="M12" s="32" t="s">
        <v>370</v>
      </c>
      <c r="N12" s="592"/>
      <c r="O12" s="592"/>
      <c r="P12" s="480"/>
    </row>
    <row r="13" spans="1:16" s="574" customFormat="1" ht="90">
      <c r="A13" s="588">
        <v>8</v>
      </c>
      <c r="B13" s="90" t="s">
        <v>144</v>
      </c>
      <c r="C13" s="90" t="s">
        <v>1773</v>
      </c>
      <c r="D13" s="22" t="s">
        <v>1517</v>
      </c>
      <c r="E13" s="22" t="s">
        <v>1774</v>
      </c>
      <c r="F13" s="47">
        <v>2998500</v>
      </c>
      <c r="G13" s="578" t="s">
        <v>23</v>
      </c>
      <c r="H13" s="578" t="s">
        <v>77</v>
      </c>
      <c r="I13" s="578">
        <v>1399</v>
      </c>
      <c r="J13" s="578" t="s">
        <v>25</v>
      </c>
      <c r="K13" s="97">
        <v>1</v>
      </c>
      <c r="L13" s="592"/>
      <c r="M13" s="32" t="s">
        <v>370</v>
      </c>
      <c r="N13" s="592"/>
      <c r="O13" s="592"/>
      <c r="P13" s="480"/>
    </row>
    <row r="14" spans="1:16" ht="46.15" customHeight="1">
      <c r="A14" s="588">
        <v>9</v>
      </c>
      <c r="B14" s="90" t="s">
        <v>144</v>
      </c>
      <c r="C14" s="90"/>
      <c r="D14" s="40" t="s">
        <v>28</v>
      </c>
      <c r="E14" s="40" t="s">
        <v>145</v>
      </c>
      <c r="F14" s="47">
        <v>90000</v>
      </c>
      <c r="G14" s="84" t="s">
        <v>23</v>
      </c>
      <c r="H14" s="84" t="s">
        <v>77</v>
      </c>
      <c r="I14" s="84">
        <v>1399</v>
      </c>
      <c r="J14" s="84" t="s">
        <v>25</v>
      </c>
      <c r="K14" s="97">
        <v>1</v>
      </c>
      <c r="L14" s="33"/>
      <c r="M14" s="32" t="s">
        <v>370</v>
      </c>
      <c r="N14" s="33"/>
      <c r="O14" s="33"/>
      <c r="P14" s="149"/>
    </row>
    <row r="15" spans="1:16" ht="48" customHeight="1">
      <c r="A15" s="588">
        <v>10</v>
      </c>
      <c r="B15" s="90" t="s">
        <v>144</v>
      </c>
      <c r="C15" s="90"/>
      <c r="D15" s="40" t="s">
        <v>28</v>
      </c>
      <c r="E15" s="22" t="s">
        <v>494</v>
      </c>
      <c r="F15" s="47">
        <v>10080000</v>
      </c>
      <c r="G15" s="84" t="s">
        <v>23</v>
      </c>
      <c r="H15" s="84" t="s">
        <v>77</v>
      </c>
      <c r="I15" s="84">
        <v>1399</v>
      </c>
      <c r="J15" s="84" t="s">
        <v>25</v>
      </c>
      <c r="K15" s="97">
        <v>1</v>
      </c>
      <c r="L15" s="40"/>
      <c r="M15" s="32" t="s">
        <v>370</v>
      </c>
      <c r="N15" s="22"/>
      <c r="O15" s="40"/>
      <c r="P15" s="25" t="s">
        <v>17</v>
      </c>
    </row>
    <row r="16" spans="1:16" ht="48.75" customHeight="1">
      <c r="A16" s="588">
        <v>11</v>
      </c>
      <c r="B16" s="90" t="s">
        <v>144</v>
      </c>
      <c r="C16" s="90"/>
      <c r="D16" s="40" t="s">
        <v>116</v>
      </c>
      <c r="E16" s="22" t="s">
        <v>493</v>
      </c>
      <c r="F16" s="47">
        <v>640000</v>
      </c>
      <c r="G16" s="84" t="s">
        <v>23</v>
      </c>
      <c r="H16" s="84" t="s">
        <v>77</v>
      </c>
      <c r="I16" s="84">
        <v>1399</v>
      </c>
      <c r="J16" s="84" t="s">
        <v>25</v>
      </c>
      <c r="K16" s="97">
        <v>1</v>
      </c>
      <c r="L16" s="234"/>
      <c r="M16" s="32" t="s">
        <v>370</v>
      </c>
      <c r="N16" s="44"/>
      <c r="O16" s="33"/>
      <c r="P16" s="19"/>
    </row>
    <row r="17" spans="1:32" ht="74.45" customHeight="1">
      <c r="A17" s="588">
        <v>12</v>
      </c>
      <c r="B17" s="90" t="s">
        <v>144</v>
      </c>
      <c r="C17" s="90"/>
      <c r="D17" s="40" t="s">
        <v>116</v>
      </c>
      <c r="E17" s="22" t="s">
        <v>131</v>
      </c>
      <c r="F17" s="47">
        <v>17000</v>
      </c>
      <c r="G17" s="84" t="s">
        <v>23</v>
      </c>
      <c r="H17" s="84" t="s">
        <v>77</v>
      </c>
      <c r="I17" s="84">
        <v>1399</v>
      </c>
      <c r="J17" s="84" t="s">
        <v>25</v>
      </c>
      <c r="K17" s="97">
        <v>1</v>
      </c>
      <c r="L17" s="234"/>
      <c r="M17" s="32" t="s">
        <v>370</v>
      </c>
      <c r="N17" s="33"/>
      <c r="O17" s="33"/>
      <c r="P17" s="19"/>
    </row>
    <row r="18" spans="1:32" ht="39" customHeight="1">
      <c r="A18" s="588">
        <v>13</v>
      </c>
      <c r="B18" s="90" t="s">
        <v>144</v>
      </c>
      <c r="C18" s="90"/>
      <c r="D18" s="40" t="s">
        <v>31</v>
      </c>
      <c r="E18" s="22" t="s">
        <v>146</v>
      </c>
      <c r="F18" s="47">
        <v>1500000</v>
      </c>
      <c r="G18" s="84" t="s">
        <v>23</v>
      </c>
      <c r="H18" s="84" t="s">
        <v>77</v>
      </c>
      <c r="I18" s="84">
        <v>1399</v>
      </c>
      <c r="J18" s="84" t="s">
        <v>25</v>
      </c>
      <c r="K18" s="233" t="s">
        <v>17</v>
      </c>
      <c r="L18" s="33" t="s">
        <v>72</v>
      </c>
      <c r="M18" s="33"/>
      <c r="N18" s="33" t="s">
        <v>110</v>
      </c>
      <c r="O18" s="32" t="s">
        <v>147</v>
      </c>
      <c r="P18" s="144"/>
    </row>
    <row r="19" spans="1:32" ht="39" customHeight="1">
      <c r="A19" s="588">
        <v>14</v>
      </c>
      <c r="B19" s="90" t="s">
        <v>144</v>
      </c>
      <c r="C19" s="90"/>
      <c r="D19" s="40" t="s">
        <v>31</v>
      </c>
      <c r="E19" s="22" t="s">
        <v>120</v>
      </c>
      <c r="F19" s="47">
        <v>204540</v>
      </c>
      <c r="G19" s="84" t="s">
        <v>23</v>
      </c>
      <c r="H19" s="84" t="s">
        <v>77</v>
      </c>
      <c r="I19" s="84">
        <v>1399</v>
      </c>
      <c r="J19" s="84" t="s">
        <v>25</v>
      </c>
      <c r="K19" s="233">
        <v>1</v>
      </c>
      <c r="L19" s="44"/>
      <c r="M19" s="32" t="s">
        <v>33</v>
      </c>
      <c r="N19" s="44"/>
      <c r="O19" s="32"/>
      <c r="P19" s="19"/>
    </row>
    <row r="20" spans="1:32" ht="39" customHeight="1">
      <c r="A20" s="588">
        <v>15</v>
      </c>
      <c r="B20" s="90" t="s">
        <v>144</v>
      </c>
      <c r="C20" s="90"/>
      <c r="D20" s="40" t="s">
        <v>31</v>
      </c>
      <c r="E20" s="22" t="s">
        <v>121</v>
      </c>
      <c r="F20" s="47">
        <v>162760</v>
      </c>
      <c r="G20" s="84" t="s">
        <v>23</v>
      </c>
      <c r="H20" s="84" t="s">
        <v>77</v>
      </c>
      <c r="I20" s="84">
        <v>1399</v>
      </c>
      <c r="J20" s="84" t="s">
        <v>25</v>
      </c>
      <c r="K20" s="233">
        <v>1</v>
      </c>
      <c r="L20" s="44"/>
      <c r="M20" s="32" t="s">
        <v>33</v>
      </c>
      <c r="N20" s="44"/>
      <c r="O20" s="32"/>
      <c r="P20" s="19"/>
    </row>
    <row r="21" spans="1:32" ht="46.15" customHeight="1">
      <c r="A21" s="588">
        <v>16</v>
      </c>
      <c r="B21" s="90" t="s">
        <v>144</v>
      </c>
      <c r="C21" s="90"/>
      <c r="D21" s="40" t="s">
        <v>31</v>
      </c>
      <c r="E21" s="22" t="s">
        <v>122</v>
      </c>
      <c r="F21" s="47">
        <v>312000</v>
      </c>
      <c r="G21" s="84" t="s">
        <v>23</v>
      </c>
      <c r="H21" s="84" t="s">
        <v>77</v>
      </c>
      <c r="I21" s="84">
        <v>1399</v>
      </c>
      <c r="J21" s="84" t="s">
        <v>25</v>
      </c>
      <c r="K21" s="233">
        <v>1</v>
      </c>
      <c r="L21" s="44"/>
      <c r="M21" s="32" t="s">
        <v>33</v>
      </c>
      <c r="N21" s="44"/>
      <c r="O21" s="32"/>
      <c r="P21" s="19"/>
    </row>
    <row r="22" spans="1:32" ht="56.45" customHeight="1">
      <c r="A22" s="588">
        <v>17</v>
      </c>
      <c r="B22" s="90" t="s">
        <v>144</v>
      </c>
      <c r="C22" s="90"/>
      <c r="D22" s="40" t="s">
        <v>123</v>
      </c>
      <c r="E22" s="22" t="s">
        <v>109</v>
      </c>
      <c r="F22" s="47">
        <v>2000000</v>
      </c>
      <c r="G22" s="84" t="s">
        <v>23</v>
      </c>
      <c r="H22" s="84" t="s">
        <v>77</v>
      </c>
      <c r="I22" s="84">
        <v>1399</v>
      </c>
      <c r="J22" s="84" t="s">
        <v>25</v>
      </c>
      <c r="K22" s="105"/>
      <c r="L22" s="44" t="s">
        <v>3</v>
      </c>
      <c r="M22" s="44"/>
      <c r="N22" s="33" t="s">
        <v>110</v>
      </c>
      <c r="O22" s="32" t="s">
        <v>147</v>
      </c>
      <c r="P22" s="19"/>
    </row>
    <row r="23" spans="1:32" ht="52.15" customHeight="1">
      <c r="A23" s="588">
        <v>18</v>
      </c>
      <c r="B23" s="90" t="s">
        <v>144</v>
      </c>
      <c r="C23" s="90"/>
      <c r="D23" s="22" t="s">
        <v>40</v>
      </c>
      <c r="E23" s="90" t="s">
        <v>203</v>
      </c>
      <c r="F23" s="47">
        <v>2901600</v>
      </c>
      <c r="G23" s="84" t="s">
        <v>23</v>
      </c>
      <c r="H23" s="84" t="s">
        <v>41</v>
      </c>
      <c r="I23" s="84">
        <v>1399</v>
      </c>
      <c r="J23" s="84" t="s">
        <v>25</v>
      </c>
      <c r="K23" s="233">
        <v>1</v>
      </c>
      <c r="L23" s="44"/>
      <c r="M23" s="44" t="s">
        <v>370</v>
      </c>
      <c r="N23" s="44"/>
      <c r="O23" s="33"/>
      <c r="P23" s="19"/>
    </row>
    <row r="24" spans="1:32" ht="72" customHeight="1">
      <c r="A24" s="588">
        <v>19</v>
      </c>
      <c r="B24" s="90" t="s">
        <v>144</v>
      </c>
      <c r="C24" s="90"/>
      <c r="D24" s="22" t="s">
        <v>40</v>
      </c>
      <c r="E24" s="90" t="s">
        <v>481</v>
      </c>
      <c r="F24" s="47" t="s">
        <v>17</v>
      </c>
      <c r="G24" s="84" t="s">
        <v>17</v>
      </c>
      <c r="H24" s="84" t="s">
        <v>17</v>
      </c>
      <c r="I24" s="84">
        <v>1399</v>
      </c>
      <c r="J24" s="84" t="s">
        <v>25</v>
      </c>
      <c r="K24" s="233">
        <v>1</v>
      </c>
      <c r="L24" s="44"/>
      <c r="M24" s="44" t="s">
        <v>370</v>
      </c>
      <c r="N24" s="44"/>
      <c r="O24" s="67"/>
      <c r="P24" s="33" t="s">
        <v>324</v>
      </c>
    </row>
    <row r="25" spans="1:32" ht="53.45" customHeight="1">
      <c r="A25" s="588">
        <v>20</v>
      </c>
      <c r="B25" s="90" t="s">
        <v>144</v>
      </c>
      <c r="C25" s="90"/>
      <c r="D25" s="22" t="s">
        <v>40</v>
      </c>
      <c r="E25" s="90" t="s">
        <v>149</v>
      </c>
      <c r="F25" s="47">
        <v>848904</v>
      </c>
      <c r="G25" s="84" t="s">
        <v>23</v>
      </c>
      <c r="H25" s="84" t="s">
        <v>41</v>
      </c>
      <c r="I25" s="84">
        <v>1399</v>
      </c>
      <c r="J25" s="84" t="s">
        <v>25</v>
      </c>
      <c r="K25" s="233">
        <v>1</v>
      </c>
      <c r="L25" s="44" t="s">
        <v>947</v>
      </c>
      <c r="M25" s="44" t="s">
        <v>370</v>
      </c>
      <c r="N25" s="22" t="s">
        <v>325</v>
      </c>
      <c r="O25" s="22" t="s">
        <v>959</v>
      </c>
      <c r="P25" s="33"/>
    </row>
    <row r="26" spans="1:32" ht="68.45" customHeight="1">
      <c r="A26" s="588">
        <v>21</v>
      </c>
      <c r="B26" s="90" t="s">
        <v>144</v>
      </c>
      <c r="C26" s="90"/>
      <c r="D26" s="22" t="s">
        <v>40</v>
      </c>
      <c r="E26" s="156" t="s">
        <v>492</v>
      </c>
      <c r="F26" s="177">
        <v>716100</v>
      </c>
      <c r="G26" s="84" t="s">
        <v>23</v>
      </c>
      <c r="H26" s="84" t="s">
        <v>41</v>
      </c>
      <c r="I26" s="84">
        <v>1399</v>
      </c>
      <c r="J26" s="84" t="s">
        <v>25</v>
      </c>
      <c r="K26" s="233">
        <v>1</v>
      </c>
      <c r="L26" s="44" t="s">
        <v>947</v>
      </c>
      <c r="M26" s="44" t="s">
        <v>370</v>
      </c>
      <c r="N26" s="22" t="s">
        <v>325</v>
      </c>
      <c r="O26" s="22" t="s">
        <v>959</v>
      </c>
      <c r="P26" s="33"/>
    </row>
    <row r="27" spans="1:32" ht="70.900000000000006" customHeight="1">
      <c r="A27" s="588">
        <v>22</v>
      </c>
      <c r="B27" s="90" t="s">
        <v>144</v>
      </c>
      <c r="C27" s="90"/>
      <c r="D27" s="22" t="s">
        <v>40</v>
      </c>
      <c r="E27" s="156" t="s">
        <v>491</v>
      </c>
      <c r="F27" s="177">
        <v>549072</v>
      </c>
      <c r="G27" s="84" t="s">
        <v>23</v>
      </c>
      <c r="H27" s="84" t="s">
        <v>41</v>
      </c>
      <c r="I27" s="84">
        <v>1399</v>
      </c>
      <c r="J27" s="84" t="s">
        <v>25</v>
      </c>
      <c r="K27" s="233">
        <v>1</v>
      </c>
      <c r="L27" s="44" t="s">
        <v>947</v>
      </c>
      <c r="M27" s="44" t="s">
        <v>370</v>
      </c>
      <c r="N27" s="22" t="s">
        <v>325</v>
      </c>
      <c r="O27" s="22" t="s">
        <v>959</v>
      </c>
      <c r="P27" s="33"/>
    </row>
    <row r="28" spans="1:32" ht="66" customHeight="1">
      <c r="A28" s="588">
        <v>23</v>
      </c>
      <c r="B28" s="90" t="s">
        <v>144</v>
      </c>
      <c r="C28" s="90"/>
      <c r="D28" s="22" t="s">
        <v>40</v>
      </c>
      <c r="E28" s="90" t="s">
        <v>490</v>
      </c>
      <c r="F28" s="177">
        <v>3348000</v>
      </c>
      <c r="G28" s="84" t="s">
        <v>23</v>
      </c>
      <c r="H28" s="84" t="s">
        <v>41</v>
      </c>
      <c r="I28" s="84">
        <v>1399</v>
      </c>
      <c r="J28" s="84" t="s">
        <v>25</v>
      </c>
      <c r="K28" s="233">
        <v>1</v>
      </c>
      <c r="L28" s="44" t="s">
        <v>947</v>
      </c>
      <c r="M28" s="44" t="s">
        <v>370</v>
      </c>
      <c r="N28" s="22" t="s">
        <v>325</v>
      </c>
      <c r="O28" s="22" t="s">
        <v>959</v>
      </c>
      <c r="P28" s="33"/>
    </row>
    <row r="29" spans="1:32" ht="65.45" customHeight="1">
      <c r="A29" s="588">
        <v>24</v>
      </c>
      <c r="B29" s="90" t="s">
        <v>144</v>
      </c>
      <c r="C29" s="90"/>
      <c r="D29" s="22" t="s">
        <v>40</v>
      </c>
      <c r="E29" s="90" t="s">
        <v>489</v>
      </c>
      <c r="F29" s="47">
        <v>66452</v>
      </c>
      <c r="G29" s="84" t="s">
        <v>23</v>
      </c>
      <c r="H29" s="84" t="s">
        <v>41</v>
      </c>
      <c r="I29" s="84">
        <v>1399</v>
      </c>
      <c r="J29" s="84" t="s">
        <v>25</v>
      </c>
      <c r="K29" s="233">
        <v>1</v>
      </c>
      <c r="L29" s="44"/>
      <c r="M29" s="44" t="s">
        <v>370</v>
      </c>
      <c r="N29" s="44"/>
      <c r="O29" s="33"/>
      <c r="P29" s="19"/>
    </row>
    <row r="30" spans="1:32" ht="61.9" customHeight="1">
      <c r="A30" s="588">
        <v>25</v>
      </c>
      <c r="B30" s="90" t="s">
        <v>144</v>
      </c>
      <c r="C30" s="90"/>
      <c r="D30" s="22" t="s">
        <v>40</v>
      </c>
      <c r="E30" s="90" t="s">
        <v>415</v>
      </c>
      <c r="F30" s="177">
        <v>750000</v>
      </c>
      <c r="G30" s="84" t="s">
        <v>23</v>
      </c>
      <c r="H30" s="84" t="s">
        <v>41</v>
      </c>
      <c r="I30" s="84">
        <v>1399</v>
      </c>
      <c r="J30" s="84" t="s">
        <v>25</v>
      </c>
      <c r="K30" s="233">
        <v>1</v>
      </c>
      <c r="L30" s="44" t="s">
        <v>947</v>
      </c>
      <c r="M30" s="44" t="s">
        <v>370</v>
      </c>
      <c r="N30" s="22" t="s">
        <v>325</v>
      </c>
      <c r="O30" s="22" t="s">
        <v>959</v>
      </c>
      <c r="P30" s="19"/>
    </row>
    <row r="31" spans="1:32" ht="65.45" customHeight="1">
      <c r="A31" s="588">
        <v>26</v>
      </c>
      <c r="B31" s="90" t="s">
        <v>144</v>
      </c>
      <c r="C31" s="90"/>
      <c r="D31" s="22" t="s">
        <v>40</v>
      </c>
      <c r="E31" s="90" t="s">
        <v>204</v>
      </c>
      <c r="F31" s="47">
        <v>364500</v>
      </c>
      <c r="G31" s="84" t="s">
        <v>23</v>
      </c>
      <c r="H31" s="84" t="s">
        <v>41</v>
      </c>
      <c r="I31" s="84">
        <v>1399</v>
      </c>
      <c r="J31" s="84" t="s">
        <v>25</v>
      </c>
      <c r="K31" s="233">
        <v>1</v>
      </c>
      <c r="L31" s="44"/>
      <c r="M31" s="44" t="s">
        <v>370</v>
      </c>
      <c r="N31" s="44"/>
      <c r="O31" s="33"/>
      <c r="P31" s="19"/>
    </row>
    <row r="32" spans="1:32" ht="63" customHeight="1">
      <c r="A32" s="588">
        <v>27</v>
      </c>
      <c r="B32" s="90" t="s">
        <v>144</v>
      </c>
      <c r="C32" s="90"/>
      <c r="D32" s="22" t="s">
        <v>40</v>
      </c>
      <c r="E32" s="90" t="s">
        <v>163</v>
      </c>
      <c r="F32" s="47">
        <v>89280</v>
      </c>
      <c r="G32" s="84" t="s">
        <v>23</v>
      </c>
      <c r="H32" s="84" t="s">
        <v>41</v>
      </c>
      <c r="I32" s="84">
        <v>1399</v>
      </c>
      <c r="J32" s="84" t="s">
        <v>25</v>
      </c>
      <c r="K32" s="233">
        <v>1</v>
      </c>
      <c r="L32" s="44"/>
      <c r="M32" s="44" t="s">
        <v>370</v>
      </c>
      <c r="N32" s="44"/>
      <c r="O32" s="33"/>
      <c r="P32" s="887"/>
      <c r="U32" s="806"/>
      <c r="V32" s="806"/>
      <c r="W32" s="806"/>
      <c r="X32" s="806"/>
      <c r="Y32" s="806"/>
      <c r="Z32" s="806"/>
      <c r="AA32" s="806"/>
      <c r="AB32" s="806"/>
      <c r="AC32" s="806"/>
      <c r="AD32" s="806"/>
      <c r="AE32" s="806"/>
      <c r="AF32" s="806"/>
    </row>
    <row r="33" spans="1:16" ht="57.6" customHeight="1">
      <c r="A33" s="588">
        <v>28</v>
      </c>
      <c r="B33" s="90" t="s">
        <v>144</v>
      </c>
      <c r="C33" s="90"/>
      <c r="D33" s="22" t="s">
        <v>40</v>
      </c>
      <c r="E33" s="90" t="s">
        <v>441</v>
      </c>
      <c r="F33" s="47">
        <v>787065</v>
      </c>
      <c r="G33" s="84" t="s">
        <v>23</v>
      </c>
      <c r="H33" s="84" t="s">
        <v>41</v>
      </c>
      <c r="I33" s="84">
        <v>1399</v>
      </c>
      <c r="J33" s="84" t="s">
        <v>25</v>
      </c>
      <c r="K33" s="233">
        <v>1</v>
      </c>
      <c r="L33" s="44" t="s">
        <v>947</v>
      </c>
      <c r="M33" s="44" t="s">
        <v>370</v>
      </c>
      <c r="N33" s="22" t="s">
        <v>325</v>
      </c>
      <c r="O33" s="22" t="s">
        <v>959</v>
      </c>
      <c r="P33" s="887"/>
    </row>
    <row r="34" spans="1:16" s="447" customFormat="1" ht="57.6" customHeight="1">
      <c r="A34" s="588">
        <v>29</v>
      </c>
      <c r="B34" s="90" t="s">
        <v>144</v>
      </c>
      <c r="C34" s="90"/>
      <c r="D34" s="445" t="s">
        <v>40</v>
      </c>
      <c r="E34" s="445" t="s">
        <v>994</v>
      </c>
      <c r="F34" s="670">
        <f>150*2617</f>
        <v>392550</v>
      </c>
      <c r="G34" s="445" t="s">
        <v>23</v>
      </c>
      <c r="H34" s="445" t="s">
        <v>41</v>
      </c>
      <c r="I34" s="445">
        <v>1399</v>
      </c>
      <c r="J34" s="445" t="s">
        <v>25</v>
      </c>
      <c r="K34" s="233">
        <v>1</v>
      </c>
      <c r="L34" s="445"/>
      <c r="M34" s="44" t="s">
        <v>370</v>
      </c>
      <c r="N34" s="44"/>
      <c r="O34" s="33"/>
      <c r="P34" s="451"/>
    </row>
    <row r="35" spans="1:16" ht="64.900000000000006" customHeight="1">
      <c r="A35" s="588">
        <v>30</v>
      </c>
      <c r="B35" s="90" t="s">
        <v>144</v>
      </c>
      <c r="C35" s="90"/>
      <c r="D35" s="22" t="s">
        <v>40</v>
      </c>
      <c r="E35" s="90" t="s">
        <v>205</v>
      </c>
      <c r="F35" s="47">
        <v>75900</v>
      </c>
      <c r="G35" s="84" t="s">
        <v>23</v>
      </c>
      <c r="H35" s="84" t="s">
        <v>41</v>
      </c>
      <c r="I35" s="84">
        <v>1399</v>
      </c>
      <c r="J35" s="84" t="s">
        <v>25</v>
      </c>
      <c r="K35" s="233">
        <v>1</v>
      </c>
      <c r="L35" s="44"/>
      <c r="M35" s="44" t="s">
        <v>370</v>
      </c>
      <c r="N35" s="44"/>
      <c r="O35" s="33"/>
      <c r="P35" s="19"/>
    </row>
    <row r="36" spans="1:16" ht="61.15" customHeight="1">
      <c r="A36" s="588">
        <v>31</v>
      </c>
      <c r="B36" s="90" t="s">
        <v>144</v>
      </c>
      <c r="C36" s="90"/>
      <c r="D36" s="22" t="s">
        <v>40</v>
      </c>
      <c r="E36" s="90" t="s">
        <v>90</v>
      </c>
      <c r="F36" s="47">
        <v>42514</v>
      </c>
      <c r="G36" s="84" t="s">
        <v>23</v>
      </c>
      <c r="H36" s="84" t="s">
        <v>41</v>
      </c>
      <c r="I36" s="84">
        <v>1399</v>
      </c>
      <c r="J36" s="84" t="s">
        <v>25</v>
      </c>
      <c r="K36" s="233">
        <v>1</v>
      </c>
      <c r="L36" s="44"/>
      <c r="M36" s="44" t="s">
        <v>370</v>
      </c>
      <c r="N36" s="44"/>
      <c r="O36" s="33"/>
      <c r="P36" s="33"/>
    </row>
    <row r="37" spans="1:16" ht="62.45" customHeight="1">
      <c r="A37" s="588">
        <v>32</v>
      </c>
      <c r="B37" s="90" t="s">
        <v>144</v>
      </c>
      <c r="C37" s="90"/>
      <c r="D37" s="22" t="s">
        <v>40</v>
      </c>
      <c r="E37" s="22" t="s">
        <v>488</v>
      </c>
      <c r="F37" s="177">
        <v>52050</v>
      </c>
      <c r="G37" s="84" t="s">
        <v>23</v>
      </c>
      <c r="H37" s="84" t="s">
        <v>41</v>
      </c>
      <c r="I37" s="84">
        <v>1399</v>
      </c>
      <c r="J37" s="84" t="s">
        <v>25</v>
      </c>
      <c r="K37" s="233">
        <v>1</v>
      </c>
      <c r="L37" s="44" t="s">
        <v>947</v>
      </c>
      <c r="M37" s="44" t="s">
        <v>370</v>
      </c>
      <c r="N37" s="22" t="s">
        <v>325</v>
      </c>
      <c r="O37" s="22" t="s">
        <v>959</v>
      </c>
      <c r="P37" s="33"/>
    </row>
    <row r="38" spans="1:16" ht="66.599999999999994" customHeight="1">
      <c r="A38" s="588">
        <v>33</v>
      </c>
      <c r="B38" s="90" t="s">
        <v>144</v>
      </c>
      <c r="C38" s="90"/>
      <c r="D38" s="22" t="s">
        <v>40</v>
      </c>
      <c r="E38" s="22" t="s">
        <v>153</v>
      </c>
      <c r="F38" s="177">
        <v>72900</v>
      </c>
      <c r="G38" s="84" t="s">
        <v>23</v>
      </c>
      <c r="H38" s="84" t="s">
        <v>41</v>
      </c>
      <c r="I38" s="84">
        <v>1399</v>
      </c>
      <c r="J38" s="84" t="s">
        <v>25</v>
      </c>
      <c r="K38" s="233">
        <v>1</v>
      </c>
      <c r="L38" s="44" t="s">
        <v>947</v>
      </c>
      <c r="M38" s="44" t="s">
        <v>370</v>
      </c>
      <c r="N38" s="22" t="s">
        <v>325</v>
      </c>
      <c r="O38" s="22" t="s">
        <v>959</v>
      </c>
      <c r="P38" s="33"/>
    </row>
    <row r="39" spans="1:16" ht="61.15" customHeight="1">
      <c r="A39" s="588">
        <v>34</v>
      </c>
      <c r="B39" s="90" t="s">
        <v>144</v>
      </c>
      <c r="C39" s="90"/>
      <c r="D39" s="22" t="s">
        <v>40</v>
      </c>
      <c r="E39" s="22" t="s">
        <v>154</v>
      </c>
      <c r="F39" s="177">
        <v>45550</v>
      </c>
      <c r="G39" s="84" t="s">
        <v>23</v>
      </c>
      <c r="H39" s="84" t="s">
        <v>41</v>
      </c>
      <c r="I39" s="84">
        <v>1399</v>
      </c>
      <c r="J39" s="84" t="s">
        <v>25</v>
      </c>
      <c r="K39" s="233">
        <v>1</v>
      </c>
      <c r="L39" s="44" t="s">
        <v>947</v>
      </c>
      <c r="M39" s="44" t="s">
        <v>370</v>
      </c>
      <c r="N39" s="22" t="s">
        <v>325</v>
      </c>
      <c r="O39" s="22" t="s">
        <v>959</v>
      </c>
      <c r="P39" s="33"/>
    </row>
    <row r="40" spans="1:16" ht="66.599999999999994" customHeight="1">
      <c r="A40" s="588">
        <v>35</v>
      </c>
      <c r="B40" s="90" t="s">
        <v>144</v>
      </c>
      <c r="C40" s="90"/>
      <c r="D40" s="22" t="s">
        <v>40</v>
      </c>
      <c r="E40" s="90" t="s">
        <v>487</v>
      </c>
      <c r="F40" s="177">
        <v>63000</v>
      </c>
      <c r="G40" s="84" t="s">
        <v>23</v>
      </c>
      <c r="H40" s="84" t="s">
        <v>41</v>
      </c>
      <c r="I40" s="84">
        <v>1399</v>
      </c>
      <c r="J40" s="84" t="s">
        <v>25</v>
      </c>
      <c r="K40" s="233">
        <v>1</v>
      </c>
      <c r="L40" s="44" t="s">
        <v>947</v>
      </c>
      <c r="M40" s="44" t="s">
        <v>370</v>
      </c>
      <c r="N40" s="22" t="s">
        <v>325</v>
      </c>
      <c r="O40" s="22" t="s">
        <v>959</v>
      </c>
      <c r="P40" s="33"/>
    </row>
    <row r="41" spans="1:16" ht="66" customHeight="1">
      <c r="A41" s="588">
        <v>36</v>
      </c>
      <c r="B41" s="90" t="s">
        <v>144</v>
      </c>
      <c r="C41" s="90"/>
      <c r="D41" s="22" t="s">
        <v>40</v>
      </c>
      <c r="E41" s="90" t="s">
        <v>51</v>
      </c>
      <c r="F41" s="177">
        <v>52080</v>
      </c>
      <c r="G41" s="84" t="s">
        <v>23</v>
      </c>
      <c r="H41" s="84" t="s">
        <v>41</v>
      </c>
      <c r="I41" s="84">
        <v>1399</v>
      </c>
      <c r="J41" s="84" t="s">
        <v>25</v>
      </c>
      <c r="K41" s="233">
        <v>1</v>
      </c>
      <c r="L41" s="44" t="s">
        <v>947</v>
      </c>
      <c r="M41" s="44" t="s">
        <v>370</v>
      </c>
      <c r="N41" s="22" t="s">
        <v>325</v>
      </c>
      <c r="O41" s="22" t="s">
        <v>959</v>
      </c>
      <c r="P41" s="33"/>
    </row>
    <row r="42" spans="1:16" ht="68.45" customHeight="1">
      <c r="A42" s="588">
        <v>37</v>
      </c>
      <c r="B42" s="90" t="s">
        <v>144</v>
      </c>
      <c r="C42" s="90"/>
      <c r="D42" s="22" t="s">
        <v>40</v>
      </c>
      <c r="E42" s="90" t="s">
        <v>486</v>
      </c>
      <c r="F42" s="47">
        <v>396000</v>
      </c>
      <c r="G42" s="84" t="s">
        <v>23</v>
      </c>
      <c r="H42" s="84" t="s">
        <v>41</v>
      </c>
      <c r="I42" s="84">
        <v>1399</v>
      </c>
      <c r="J42" s="84" t="s">
        <v>25</v>
      </c>
      <c r="K42" s="233">
        <v>1</v>
      </c>
      <c r="L42" s="44"/>
      <c r="M42" s="44" t="s">
        <v>370</v>
      </c>
      <c r="N42" s="44"/>
      <c r="O42" s="33"/>
      <c r="P42" s="33"/>
    </row>
    <row r="43" spans="1:16" ht="72">
      <c r="A43" s="588">
        <v>38</v>
      </c>
      <c r="B43" s="90" t="s">
        <v>144</v>
      </c>
      <c r="C43" s="90"/>
      <c r="D43" s="22" t="s">
        <v>40</v>
      </c>
      <c r="E43" s="158" t="s">
        <v>485</v>
      </c>
      <c r="F43" s="47">
        <v>360000</v>
      </c>
      <c r="G43" s="84" t="s">
        <v>23</v>
      </c>
      <c r="H43" s="84" t="s">
        <v>41</v>
      </c>
      <c r="I43" s="84">
        <v>1399</v>
      </c>
      <c r="J43" s="84" t="s">
        <v>25</v>
      </c>
      <c r="K43" s="233">
        <v>1</v>
      </c>
      <c r="L43" s="44"/>
      <c r="M43" s="44" t="s">
        <v>370</v>
      </c>
      <c r="N43" s="44"/>
      <c r="O43" s="33"/>
      <c r="P43" s="33"/>
    </row>
    <row r="44" spans="1:16" ht="90">
      <c r="A44" s="588">
        <v>39</v>
      </c>
      <c r="B44" s="90" t="s">
        <v>144</v>
      </c>
      <c r="C44" s="90"/>
      <c r="D44" s="22" t="s">
        <v>40</v>
      </c>
      <c r="E44" s="90" t="s">
        <v>1849</v>
      </c>
      <c r="F44" s="177">
        <v>702000</v>
      </c>
      <c r="G44" s="84" t="s">
        <v>23</v>
      </c>
      <c r="H44" s="84" t="s">
        <v>41</v>
      </c>
      <c r="I44" s="84">
        <v>1399</v>
      </c>
      <c r="J44" s="84" t="s">
        <v>25</v>
      </c>
      <c r="K44" s="233">
        <v>1</v>
      </c>
      <c r="L44" s="44" t="s">
        <v>947</v>
      </c>
      <c r="M44" s="44" t="s">
        <v>370</v>
      </c>
      <c r="N44" s="22" t="s">
        <v>325</v>
      </c>
      <c r="O44" s="22" t="s">
        <v>959</v>
      </c>
      <c r="P44" s="33"/>
    </row>
    <row r="45" spans="1:16" ht="90">
      <c r="A45" s="588">
        <v>40</v>
      </c>
      <c r="B45" s="90" t="s">
        <v>75</v>
      </c>
      <c r="C45" s="90"/>
      <c r="D45" s="40" t="s">
        <v>76</v>
      </c>
      <c r="E45" s="40" t="s">
        <v>1857</v>
      </c>
      <c r="F45" s="35">
        <v>215917574</v>
      </c>
      <c r="G45" s="19" t="s">
        <v>23</v>
      </c>
      <c r="H45" s="22" t="s">
        <v>77</v>
      </c>
      <c r="I45" s="19">
        <v>1399</v>
      </c>
      <c r="J45" s="22" t="s">
        <v>25</v>
      </c>
      <c r="K45" s="60">
        <v>0.96</v>
      </c>
      <c r="L45" s="33"/>
      <c r="M45" s="33" t="s">
        <v>78</v>
      </c>
      <c r="N45" s="33"/>
      <c r="O45" s="33"/>
      <c r="P45" s="33" t="s">
        <v>1852</v>
      </c>
    </row>
    <row r="46" spans="1:16" s="165" customFormat="1" ht="54">
      <c r="A46" s="588">
        <v>41</v>
      </c>
      <c r="B46" s="90" t="s">
        <v>144</v>
      </c>
      <c r="C46" s="90" t="s">
        <v>1009</v>
      </c>
      <c r="D46" s="22" t="s">
        <v>111</v>
      </c>
      <c r="E46" s="22" t="s">
        <v>1385</v>
      </c>
      <c r="F46" s="47">
        <v>335000</v>
      </c>
      <c r="G46" s="351" t="s">
        <v>23</v>
      </c>
      <c r="H46" s="351" t="s">
        <v>77</v>
      </c>
      <c r="I46" s="351">
        <v>1399</v>
      </c>
      <c r="J46" s="351" t="s">
        <v>25</v>
      </c>
      <c r="K46" s="48">
        <v>1</v>
      </c>
      <c r="L46" s="33"/>
      <c r="M46" s="33" t="s">
        <v>33</v>
      </c>
      <c r="N46" s="33"/>
      <c r="O46" s="33"/>
      <c r="P46" s="527"/>
    </row>
    <row r="47" spans="1:16" s="165" customFormat="1" ht="61.9" customHeight="1">
      <c r="A47" s="588">
        <v>42</v>
      </c>
      <c r="B47" s="90" t="s">
        <v>144</v>
      </c>
      <c r="C47" s="90" t="s">
        <v>1009</v>
      </c>
      <c r="D47" s="22" t="s">
        <v>111</v>
      </c>
      <c r="E47" s="22" t="s">
        <v>1386</v>
      </c>
      <c r="F47" s="47">
        <v>240000</v>
      </c>
      <c r="G47" s="351" t="s">
        <v>23</v>
      </c>
      <c r="H47" s="351" t="s">
        <v>77</v>
      </c>
      <c r="I47" s="351">
        <v>1399</v>
      </c>
      <c r="J47" s="351" t="s">
        <v>25</v>
      </c>
      <c r="K47" s="48">
        <v>1</v>
      </c>
      <c r="L47" s="671"/>
      <c r="M47" s="33" t="s">
        <v>33</v>
      </c>
      <c r="N47" s="353"/>
      <c r="O47" s="353"/>
      <c r="P47" s="482"/>
    </row>
    <row r="48" spans="1:16" s="165" customFormat="1" ht="64.5" customHeight="1">
      <c r="A48" s="588">
        <v>43</v>
      </c>
      <c r="B48" s="90" t="s">
        <v>144</v>
      </c>
      <c r="C48" s="90" t="s">
        <v>1387</v>
      </c>
      <c r="D48" s="22" t="s">
        <v>111</v>
      </c>
      <c r="E48" s="22" t="s">
        <v>1127</v>
      </c>
      <c r="F48" s="47">
        <v>2000000</v>
      </c>
      <c r="G48" s="351" t="s">
        <v>23</v>
      </c>
      <c r="H48" s="351" t="s">
        <v>77</v>
      </c>
      <c r="I48" s="351">
        <v>1399</v>
      </c>
      <c r="J48" s="351" t="s">
        <v>25</v>
      </c>
      <c r="K48" s="48" t="s">
        <v>17</v>
      </c>
      <c r="L48" s="33" t="s">
        <v>3</v>
      </c>
      <c r="M48" s="33"/>
      <c r="N48" s="33" t="s">
        <v>1388</v>
      </c>
      <c r="O48" s="33" t="s">
        <v>1389</v>
      </c>
      <c r="P48" s="482"/>
    </row>
    <row r="49" spans="1:16" s="165" customFormat="1" ht="81" customHeight="1">
      <c r="A49" s="588">
        <v>44</v>
      </c>
      <c r="B49" s="90" t="s">
        <v>144</v>
      </c>
      <c r="C49" s="90" t="s">
        <v>1390</v>
      </c>
      <c r="D49" s="467" t="s">
        <v>1124</v>
      </c>
      <c r="E49" s="481" t="s">
        <v>1391</v>
      </c>
      <c r="F49" s="528" t="s">
        <v>1392</v>
      </c>
      <c r="G49" s="351" t="s">
        <v>1125</v>
      </c>
      <c r="H49" s="351" t="s">
        <v>77</v>
      </c>
      <c r="I49" s="351">
        <v>1399</v>
      </c>
      <c r="J49" s="351" t="s">
        <v>25</v>
      </c>
      <c r="K49" s="48">
        <v>1</v>
      </c>
      <c r="L49" s="33"/>
      <c r="M49" s="33" t="s">
        <v>33</v>
      </c>
      <c r="N49" s="33"/>
      <c r="O49" s="33"/>
      <c r="P49" s="33"/>
    </row>
    <row r="50" spans="1:16" s="165" customFormat="1" ht="102" customHeight="1">
      <c r="A50" s="588">
        <v>45</v>
      </c>
      <c r="B50" s="90" t="s">
        <v>144</v>
      </c>
      <c r="C50" s="90" t="s">
        <v>1390</v>
      </c>
      <c r="D50" s="467" t="s">
        <v>1124</v>
      </c>
      <c r="E50" s="529" t="s">
        <v>1393</v>
      </c>
      <c r="F50" s="530" t="s">
        <v>1394</v>
      </c>
      <c r="G50" s="351" t="s">
        <v>1125</v>
      </c>
      <c r="H50" s="351" t="s">
        <v>77</v>
      </c>
      <c r="I50" s="351">
        <v>1399</v>
      </c>
      <c r="J50" s="351" t="s">
        <v>25</v>
      </c>
      <c r="K50" s="48">
        <v>1</v>
      </c>
      <c r="L50" s="33"/>
      <c r="M50" s="33" t="s">
        <v>33</v>
      </c>
      <c r="N50" s="33"/>
      <c r="O50" s="33"/>
      <c r="P50" s="33"/>
    </row>
    <row r="51" spans="1:16" s="165" customFormat="1" ht="49.9" customHeight="1">
      <c r="A51" s="588">
        <v>46</v>
      </c>
      <c r="B51" s="90" t="s">
        <v>144</v>
      </c>
      <c r="C51" s="90" t="s">
        <v>1390</v>
      </c>
      <c r="D51" s="467" t="s">
        <v>1124</v>
      </c>
      <c r="E51" s="529" t="s">
        <v>1395</v>
      </c>
      <c r="F51" s="528" t="s">
        <v>1396</v>
      </c>
      <c r="G51" s="351" t="s">
        <v>1125</v>
      </c>
      <c r="H51" s="351" t="s">
        <v>77</v>
      </c>
      <c r="I51" s="351">
        <v>1399</v>
      </c>
      <c r="J51" s="351" t="s">
        <v>25</v>
      </c>
      <c r="K51" s="48">
        <v>1</v>
      </c>
      <c r="L51" s="33"/>
      <c r="M51" s="33" t="s">
        <v>33</v>
      </c>
      <c r="N51" s="33"/>
      <c r="O51" s="33"/>
      <c r="P51" s="482"/>
    </row>
    <row r="52" spans="1:16" s="165" customFormat="1" ht="90.6" customHeight="1">
      <c r="A52" s="588">
        <v>47</v>
      </c>
      <c r="B52" s="90" t="s">
        <v>144</v>
      </c>
      <c r="C52" s="90" t="s">
        <v>1390</v>
      </c>
      <c r="D52" s="467" t="s">
        <v>1124</v>
      </c>
      <c r="E52" s="529" t="s">
        <v>1397</v>
      </c>
      <c r="F52" s="531" t="s">
        <v>1398</v>
      </c>
      <c r="G52" s="351" t="s">
        <v>1125</v>
      </c>
      <c r="H52" s="351" t="s">
        <v>77</v>
      </c>
      <c r="I52" s="351">
        <v>1399</v>
      </c>
      <c r="J52" s="351" t="s">
        <v>25</v>
      </c>
      <c r="K52" s="48" t="s">
        <v>17</v>
      </c>
      <c r="L52" s="33" t="s">
        <v>3</v>
      </c>
      <c r="M52" s="33"/>
      <c r="N52" s="22" t="s">
        <v>325</v>
      </c>
      <c r="O52" s="22" t="s">
        <v>1389</v>
      </c>
      <c r="P52" s="482"/>
    </row>
    <row r="53" spans="1:16" s="165" customFormat="1" ht="49.9" customHeight="1">
      <c r="A53" s="588">
        <v>48</v>
      </c>
      <c r="B53" s="90" t="s">
        <v>144</v>
      </c>
      <c r="C53" s="90" t="s">
        <v>1390</v>
      </c>
      <c r="D53" s="467" t="s">
        <v>1124</v>
      </c>
      <c r="E53" s="529" t="s">
        <v>1399</v>
      </c>
      <c r="F53" s="531" t="s">
        <v>1400</v>
      </c>
      <c r="G53" s="351" t="s">
        <v>1125</v>
      </c>
      <c r="H53" s="351" t="s">
        <v>77</v>
      </c>
      <c r="I53" s="351">
        <v>1399</v>
      </c>
      <c r="J53" s="351" t="s">
        <v>25</v>
      </c>
      <c r="K53" s="48">
        <v>1</v>
      </c>
      <c r="L53" s="33"/>
      <c r="M53" s="33" t="s">
        <v>33</v>
      </c>
      <c r="N53" s="33"/>
      <c r="O53" s="33"/>
      <c r="P53" s="482"/>
    </row>
    <row r="54" spans="1:16" s="165" customFormat="1" ht="75" customHeight="1">
      <c r="A54" s="588">
        <v>49</v>
      </c>
      <c r="B54" s="90" t="s">
        <v>144</v>
      </c>
      <c r="C54" s="90" t="s">
        <v>1390</v>
      </c>
      <c r="D54" s="467" t="s">
        <v>1124</v>
      </c>
      <c r="E54" s="532" t="s">
        <v>1401</v>
      </c>
      <c r="F54" s="531" t="s">
        <v>1402</v>
      </c>
      <c r="G54" s="351" t="s">
        <v>1125</v>
      </c>
      <c r="H54" s="351" t="s">
        <v>77</v>
      </c>
      <c r="I54" s="351">
        <v>1401</v>
      </c>
      <c r="J54" s="351" t="s">
        <v>25</v>
      </c>
      <c r="K54" s="48"/>
      <c r="L54" s="33" t="s">
        <v>3</v>
      </c>
      <c r="M54" s="33"/>
      <c r="N54" s="33" t="s">
        <v>333</v>
      </c>
      <c r="O54" s="33" t="s">
        <v>1403</v>
      </c>
      <c r="P54" s="533" t="s">
        <v>17</v>
      </c>
    </row>
    <row r="55" spans="1:16" s="552" customFormat="1" ht="61.5" customHeight="1">
      <c r="A55" s="588">
        <v>50</v>
      </c>
      <c r="B55" s="6" t="s">
        <v>144</v>
      </c>
      <c r="C55" s="6"/>
      <c r="D55" s="196" t="s">
        <v>73</v>
      </c>
      <c r="E55" s="22" t="s">
        <v>142</v>
      </c>
      <c r="F55" s="47">
        <v>1282840</v>
      </c>
      <c r="G55" s="354" t="s">
        <v>23</v>
      </c>
      <c r="H55" s="354" t="s">
        <v>77</v>
      </c>
      <c r="I55" s="354">
        <v>1399</v>
      </c>
      <c r="J55" s="354" t="s">
        <v>25</v>
      </c>
      <c r="K55" s="48"/>
      <c r="L55" s="175" t="s">
        <v>3</v>
      </c>
      <c r="M55" s="175"/>
      <c r="N55" s="623" t="s">
        <v>581</v>
      </c>
      <c r="O55" s="236" t="s">
        <v>1833</v>
      </c>
      <c r="P55" s="553"/>
    </row>
  </sheetData>
  <autoFilter ref="D1:D45"/>
  <mergeCells count="16">
    <mergeCell ref="P32:P33"/>
    <mergeCell ref="U32:AF32"/>
    <mergeCell ref="A1:P3"/>
    <mergeCell ref="A4:A5"/>
    <mergeCell ref="B4:B5"/>
    <mergeCell ref="C4:C5"/>
    <mergeCell ref="D4:D5"/>
    <mergeCell ref="E4:E5"/>
    <mergeCell ref="F4:H4"/>
    <mergeCell ref="I4:I5"/>
    <mergeCell ref="J4:J5"/>
    <mergeCell ref="K4:K5"/>
    <mergeCell ref="L4:M4"/>
    <mergeCell ref="N4:N5"/>
    <mergeCell ref="O4:O5"/>
    <mergeCell ref="P4:P5"/>
  </mergeCells>
  <printOptions horizontalCentered="1"/>
  <pageMargins left="0.2" right="0.2" top="0.5" bottom="0.5" header="0.3" footer="0.3"/>
  <pageSetup paperSize="9" scale="5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sheetPr>
    <tabColor rgb="FF92D050"/>
  </sheetPr>
  <dimension ref="A1:U108"/>
  <sheetViews>
    <sheetView rightToLeft="1" view="pageBreakPreview" zoomScale="87" zoomScaleSheetLayoutView="87" workbookViewId="0">
      <pane ySplit="6" topLeftCell="A104" activePane="bottomLeft" state="frozen"/>
      <selection pane="bottomLeft" activeCell="K108" sqref="K108"/>
    </sheetView>
  </sheetViews>
  <sheetFormatPr defaultColWidth="9.140625" defaultRowHeight="15"/>
  <cols>
    <col min="1" max="1" width="7.140625" style="1" customWidth="1"/>
    <col min="2" max="2" width="12.5703125" style="10" customWidth="1"/>
    <col min="3" max="3" width="9.85546875" style="3" customWidth="1"/>
    <col min="4" max="4" width="17.7109375" style="7" customWidth="1"/>
    <col min="5" max="5" width="31.7109375" style="10" customWidth="1"/>
    <col min="6" max="6" width="17.7109375" style="2" customWidth="1"/>
    <col min="7" max="7" width="10.85546875" style="2" customWidth="1"/>
    <col min="8" max="8" width="13.28515625" style="10" customWidth="1"/>
    <col min="9" max="9" width="13.85546875" style="1" customWidth="1"/>
    <col min="10" max="10" width="13.28515625" style="1" customWidth="1"/>
    <col min="11" max="11" width="11.28515625" style="14" customWidth="1"/>
    <col min="12" max="12" width="11.28515625" style="1" customWidth="1"/>
    <col min="13" max="13" width="16.28515625" style="13" customWidth="1"/>
    <col min="14" max="14" width="22.7109375" style="11" customWidth="1"/>
    <col min="15" max="15" width="19.28515625" style="11" customWidth="1"/>
    <col min="16" max="16" width="15.7109375" style="709" customWidth="1"/>
    <col min="17" max="16384" width="9.140625" style="709"/>
  </cols>
  <sheetData>
    <row r="1" spans="1:16" ht="21" customHeight="1">
      <c r="A1" s="788" t="s">
        <v>1937</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27.75" customHeight="1">
      <c r="A5" s="792" t="s">
        <v>0</v>
      </c>
      <c r="B5" s="792" t="s">
        <v>14</v>
      </c>
      <c r="C5" s="792" t="s">
        <v>18</v>
      </c>
      <c r="D5" s="792" t="s">
        <v>1</v>
      </c>
      <c r="E5" s="810" t="s">
        <v>15</v>
      </c>
      <c r="F5" s="792" t="s">
        <v>9</v>
      </c>
      <c r="G5" s="792"/>
      <c r="H5" s="792"/>
      <c r="I5" s="792" t="s">
        <v>7</v>
      </c>
      <c r="J5" s="792" t="s">
        <v>6</v>
      </c>
      <c r="K5" s="811" t="s">
        <v>16</v>
      </c>
      <c r="L5" s="792" t="s">
        <v>2</v>
      </c>
      <c r="M5" s="792"/>
      <c r="N5" s="792" t="s">
        <v>5</v>
      </c>
      <c r="O5" s="812" t="s">
        <v>13</v>
      </c>
      <c r="P5" s="792" t="s">
        <v>8</v>
      </c>
    </row>
    <row r="6" spans="1:16" ht="50.45" customHeight="1">
      <c r="A6" s="792"/>
      <c r="B6" s="792"/>
      <c r="C6" s="792"/>
      <c r="D6" s="792"/>
      <c r="E6" s="810"/>
      <c r="F6" s="711" t="s">
        <v>10</v>
      </c>
      <c r="G6" s="711" t="s">
        <v>11</v>
      </c>
      <c r="H6" s="711" t="s">
        <v>12</v>
      </c>
      <c r="I6" s="792"/>
      <c r="J6" s="792"/>
      <c r="K6" s="811"/>
      <c r="L6" s="711" t="s">
        <v>3</v>
      </c>
      <c r="M6" s="716" t="s">
        <v>4</v>
      </c>
      <c r="N6" s="792"/>
      <c r="O6" s="813"/>
      <c r="P6" s="792"/>
    </row>
    <row r="7" spans="1:16" s="5" customFormat="1" ht="72">
      <c r="A7" s="82">
        <v>1</v>
      </c>
      <c r="B7" s="354" t="s">
        <v>75</v>
      </c>
      <c r="C7" s="354"/>
      <c r="D7" s="705" t="s">
        <v>1527</v>
      </c>
      <c r="E7" s="40" t="s">
        <v>1936</v>
      </c>
      <c r="F7" s="30">
        <v>266666.40000000002</v>
      </c>
      <c r="G7" s="718" t="s">
        <v>23</v>
      </c>
      <c r="H7" s="718" t="s">
        <v>77</v>
      </c>
      <c r="I7" s="718">
        <v>1399</v>
      </c>
      <c r="J7" s="718" t="s">
        <v>25</v>
      </c>
      <c r="K7" s="106">
        <v>1</v>
      </c>
      <c r="L7" s="714"/>
      <c r="M7" s="349" t="s">
        <v>1927</v>
      </c>
      <c r="N7" s="714"/>
      <c r="O7" s="714"/>
      <c r="P7" s="714"/>
    </row>
    <row r="8" spans="1:16" s="5" customFormat="1" ht="72">
      <c r="A8" s="82">
        <v>2</v>
      </c>
      <c r="B8" s="354" t="s">
        <v>75</v>
      </c>
      <c r="C8" s="354"/>
      <c r="D8" s="705" t="s">
        <v>1527</v>
      </c>
      <c r="E8" s="40" t="s">
        <v>1935</v>
      </c>
      <c r="F8" s="30">
        <v>444443.99999999994</v>
      </c>
      <c r="G8" s="718" t="s">
        <v>23</v>
      </c>
      <c r="H8" s="718" t="s">
        <v>77</v>
      </c>
      <c r="I8" s="718">
        <v>1399</v>
      </c>
      <c r="J8" s="718" t="s">
        <v>25</v>
      </c>
      <c r="K8" s="106">
        <v>1</v>
      </c>
      <c r="L8" s="714"/>
      <c r="M8" s="349" t="s">
        <v>1927</v>
      </c>
      <c r="N8" s="714"/>
      <c r="O8" s="714"/>
      <c r="P8" s="714"/>
    </row>
    <row r="9" spans="1:16" s="5" customFormat="1" ht="72">
      <c r="A9" s="82">
        <v>3</v>
      </c>
      <c r="B9" s="354" t="s">
        <v>75</v>
      </c>
      <c r="C9" s="354"/>
      <c r="D9" s="705" t="s">
        <v>1527</v>
      </c>
      <c r="E9" s="40" t="s">
        <v>1934</v>
      </c>
      <c r="F9" s="30">
        <v>1066668</v>
      </c>
      <c r="G9" s="718" t="s">
        <v>23</v>
      </c>
      <c r="H9" s="718" t="s">
        <v>77</v>
      </c>
      <c r="I9" s="718">
        <v>1399</v>
      </c>
      <c r="J9" s="718" t="s">
        <v>25</v>
      </c>
      <c r="K9" s="106">
        <v>1</v>
      </c>
      <c r="L9" s="714"/>
      <c r="M9" s="349" t="s">
        <v>1927</v>
      </c>
      <c r="N9" s="714"/>
      <c r="O9" s="714"/>
      <c r="P9" s="714"/>
    </row>
    <row r="10" spans="1:16" s="5" customFormat="1" ht="72">
      <c r="A10" s="82">
        <v>4</v>
      </c>
      <c r="B10" s="354" t="s">
        <v>75</v>
      </c>
      <c r="C10" s="354"/>
      <c r="D10" s="705" t="s">
        <v>1527</v>
      </c>
      <c r="E10" s="40" t="s">
        <v>1933</v>
      </c>
      <c r="F10" s="30">
        <v>1333335</v>
      </c>
      <c r="G10" s="718" t="s">
        <v>23</v>
      </c>
      <c r="H10" s="718" t="s">
        <v>77</v>
      </c>
      <c r="I10" s="718">
        <v>1399</v>
      </c>
      <c r="J10" s="718" t="s">
        <v>25</v>
      </c>
      <c r="K10" s="106">
        <v>1</v>
      </c>
      <c r="L10" s="714"/>
      <c r="M10" s="349" t="s">
        <v>1927</v>
      </c>
      <c r="N10" s="714"/>
      <c r="O10" s="714"/>
      <c r="P10" s="714"/>
    </row>
    <row r="11" spans="1:16" s="5" customFormat="1" ht="72">
      <c r="A11" s="82">
        <v>5</v>
      </c>
      <c r="B11" s="354" t="s">
        <v>75</v>
      </c>
      <c r="C11" s="354"/>
      <c r="D11" s="705" t="s">
        <v>1527</v>
      </c>
      <c r="E11" s="40" t="s">
        <v>1932</v>
      </c>
      <c r="F11" s="30">
        <v>800000</v>
      </c>
      <c r="G11" s="718" t="s">
        <v>23</v>
      </c>
      <c r="H11" s="718" t="s">
        <v>77</v>
      </c>
      <c r="I11" s="718">
        <v>1399</v>
      </c>
      <c r="J11" s="718" t="s">
        <v>25</v>
      </c>
      <c r="K11" s="106">
        <v>1</v>
      </c>
      <c r="L11" s="714"/>
      <c r="M11" s="349" t="s">
        <v>1927</v>
      </c>
      <c r="N11" s="714"/>
      <c r="O11" s="714"/>
      <c r="P11" s="714"/>
    </row>
    <row r="12" spans="1:16" s="5" customFormat="1" ht="72">
      <c r="A12" s="82">
        <v>6</v>
      </c>
      <c r="B12" s="354" t="s">
        <v>75</v>
      </c>
      <c r="C12" s="354"/>
      <c r="D12" s="705" t="s">
        <v>1527</v>
      </c>
      <c r="E12" s="40" t="s">
        <v>1931</v>
      </c>
      <c r="F12" s="30">
        <v>711112</v>
      </c>
      <c r="G12" s="718" t="s">
        <v>23</v>
      </c>
      <c r="H12" s="718" t="s">
        <v>77</v>
      </c>
      <c r="I12" s="718">
        <v>1399</v>
      </c>
      <c r="J12" s="718" t="s">
        <v>25</v>
      </c>
      <c r="K12" s="106">
        <v>1</v>
      </c>
      <c r="L12" s="714"/>
      <c r="M12" s="349" t="s">
        <v>1927</v>
      </c>
      <c r="N12" s="714"/>
      <c r="O12" s="714"/>
      <c r="P12" s="714"/>
    </row>
    <row r="13" spans="1:16" s="5" customFormat="1" ht="72">
      <c r="A13" s="82">
        <v>7</v>
      </c>
      <c r="B13" s="354" t="s">
        <v>75</v>
      </c>
      <c r="C13" s="354"/>
      <c r="D13" s="705" t="s">
        <v>1527</v>
      </c>
      <c r="E13" s="40" t="s">
        <v>1930</v>
      </c>
      <c r="F13" s="30">
        <v>266664</v>
      </c>
      <c r="G13" s="718" t="s">
        <v>23</v>
      </c>
      <c r="H13" s="718" t="s">
        <v>77</v>
      </c>
      <c r="I13" s="718">
        <v>1399</v>
      </c>
      <c r="J13" s="718" t="s">
        <v>25</v>
      </c>
      <c r="K13" s="106">
        <v>1</v>
      </c>
      <c r="L13" s="714"/>
      <c r="M13" s="349" t="s">
        <v>1927</v>
      </c>
      <c r="N13" s="714"/>
      <c r="O13" s="714"/>
      <c r="P13" s="714"/>
    </row>
    <row r="14" spans="1:16" s="5" customFormat="1" ht="72">
      <c r="A14" s="82">
        <v>8</v>
      </c>
      <c r="B14" s="354" t="s">
        <v>75</v>
      </c>
      <c r="C14" s="354"/>
      <c r="D14" s="705" t="s">
        <v>1527</v>
      </c>
      <c r="E14" s="40" t="s">
        <v>1528</v>
      </c>
      <c r="F14" s="30">
        <v>354666.66666666663</v>
      </c>
      <c r="G14" s="718" t="s">
        <v>23</v>
      </c>
      <c r="H14" s="718" t="s">
        <v>77</v>
      </c>
      <c r="I14" s="718">
        <v>1399</v>
      </c>
      <c r="J14" s="718" t="s">
        <v>25</v>
      </c>
      <c r="K14" s="106">
        <v>1</v>
      </c>
      <c r="L14" s="714"/>
      <c r="M14" s="349" t="s">
        <v>1927</v>
      </c>
      <c r="N14" s="714"/>
      <c r="O14" s="714"/>
      <c r="P14" s="714"/>
    </row>
    <row r="15" spans="1:16" s="5" customFormat="1" ht="36">
      <c r="A15" s="82">
        <v>9</v>
      </c>
      <c r="B15" s="354" t="s">
        <v>75</v>
      </c>
      <c r="C15" s="354" t="s">
        <v>1929</v>
      </c>
      <c r="D15" s="705" t="s">
        <v>320</v>
      </c>
      <c r="E15" s="40" t="s">
        <v>1928</v>
      </c>
      <c r="F15" s="30">
        <v>335633.33333333331</v>
      </c>
      <c r="G15" s="718" t="s">
        <v>23</v>
      </c>
      <c r="H15" s="718" t="s">
        <v>77</v>
      </c>
      <c r="I15" s="718">
        <v>1399</v>
      </c>
      <c r="J15" s="718" t="s">
        <v>25</v>
      </c>
      <c r="K15" s="106">
        <v>1</v>
      </c>
      <c r="L15" s="714"/>
      <c r="M15" s="349" t="s">
        <v>1927</v>
      </c>
      <c r="N15" s="714"/>
      <c r="O15" s="714"/>
      <c r="P15" s="714"/>
    </row>
    <row r="16" spans="1:16" s="5" customFormat="1" ht="72">
      <c r="A16" s="82">
        <v>10</v>
      </c>
      <c r="B16" s="354" t="s">
        <v>75</v>
      </c>
      <c r="C16" s="354" t="s">
        <v>1926</v>
      </c>
      <c r="D16" s="705" t="s">
        <v>320</v>
      </c>
      <c r="E16" s="40" t="s">
        <v>321</v>
      </c>
      <c r="F16" s="30">
        <v>123000</v>
      </c>
      <c r="G16" s="718" t="s">
        <v>23</v>
      </c>
      <c r="H16" s="718" t="s">
        <v>77</v>
      </c>
      <c r="I16" s="718">
        <v>1399</v>
      </c>
      <c r="J16" s="718" t="s">
        <v>25</v>
      </c>
      <c r="K16" s="106">
        <v>1</v>
      </c>
      <c r="L16" s="714"/>
      <c r="M16" s="349" t="s">
        <v>1927</v>
      </c>
      <c r="N16" s="714"/>
      <c r="O16" s="714"/>
      <c r="P16" s="714"/>
    </row>
    <row r="17" spans="1:16" s="5" customFormat="1" ht="90">
      <c r="A17" s="82">
        <v>11</v>
      </c>
      <c r="B17" s="354" t="s">
        <v>75</v>
      </c>
      <c r="C17" s="354" t="s">
        <v>1926</v>
      </c>
      <c r="D17" s="705" t="s">
        <v>320</v>
      </c>
      <c r="E17" s="40" t="s">
        <v>1529</v>
      </c>
      <c r="F17" s="30">
        <v>412000</v>
      </c>
      <c r="G17" s="718" t="s">
        <v>23</v>
      </c>
      <c r="H17" s="718" t="s">
        <v>77</v>
      </c>
      <c r="I17" s="718">
        <v>1399</v>
      </c>
      <c r="J17" s="718" t="s">
        <v>25</v>
      </c>
      <c r="K17" s="106">
        <v>1</v>
      </c>
      <c r="L17" s="714"/>
      <c r="M17" s="349" t="s">
        <v>1927</v>
      </c>
      <c r="N17" s="714"/>
      <c r="O17" s="714"/>
      <c r="P17" s="714"/>
    </row>
    <row r="18" spans="1:16" s="5" customFormat="1" ht="72">
      <c r="A18" s="82">
        <v>12</v>
      </c>
      <c r="B18" s="354" t="s">
        <v>75</v>
      </c>
      <c r="C18" s="354" t="s">
        <v>1926</v>
      </c>
      <c r="D18" s="705" t="s">
        <v>320</v>
      </c>
      <c r="E18" s="40" t="s">
        <v>1530</v>
      </c>
      <c r="F18" s="30">
        <v>2236000</v>
      </c>
      <c r="G18" s="718" t="s">
        <v>23</v>
      </c>
      <c r="H18" s="718" t="s">
        <v>77</v>
      </c>
      <c r="I18" s="718">
        <v>1399</v>
      </c>
      <c r="J18" s="718" t="s">
        <v>25</v>
      </c>
      <c r="K18" s="106">
        <v>1</v>
      </c>
      <c r="L18" s="714"/>
      <c r="M18" s="349" t="s">
        <v>1927</v>
      </c>
      <c r="N18" s="714"/>
      <c r="O18" s="714"/>
      <c r="P18" s="714"/>
    </row>
    <row r="19" spans="1:16" s="5" customFormat="1" ht="72">
      <c r="A19" s="82">
        <v>13</v>
      </c>
      <c r="B19" s="354" t="s">
        <v>75</v>
      </c>
      <c r="C19" s="354" t="s">
        <v>1926</v>
      </c>
      <c r="D19" s="705" t="s">
        <v>320</v>
      </c>
      <c r="E19" s="40" t="s">
        <v>1531</v>
      </c>
      <c r="F19" s="30">
        <v>1000000</v>
      </c>
      <c r="G19" s="718" t="s">
        <v>23</v>
      </c>
      <c r="H19" s="718" t="s">
        <v>77</v>
      </c>
      <c r="I19" s="718">
        <v>1399</v>
      </c>
      <c r="J19" s="718" t="s">
        <v>25</v>
      </c>
      <c r="K19" s="106">
        <v>1</v>
      </c>
      <c r="L19" s="714"/>
      <c r="M19" s="349" t="s">
        <v>1927</v>
      </c>
      <c r="N19" s="714"/>
      <c r="O19" s="714"/>
      <c r="P19" s="714"/>
    </row>
    <row r="20" spans="1:16" s="5" customFormat="1" ht="72">
      <c r="A20" s="82">
        <v>14</v>
      </c>
      <c r="B20" s="354" t="s">
        <v>75</v>
      </c>
      <c r="C20" s="354" t="s">
        <v>1926</v>
      </c>
      <c r="D20" s="705" t="s">
        <v>320</v>
      </c>
      <c r="E20" s="40" t="s">
        <v>1532</v>
      </c>
      <c r="F20" s="30">
        <v>1538000</v>
      </c>
      <c r="G20" s="718" t="s">
        <v>23</v>
      </c>
      <c r="H20" s="718" t="s">
        <v>77</v>
      </c>
      <c r="I20" s="718">
        <v>1399</v>
      </c>
      <c r="J20" s="718" t="s">
        <v>25</v>
      </c>
      <c r="K20" s="106">
        <v>1</v>
      </c>
      <c r="L20" s="714"/>
      <c r="M20" s="349" t="s">
        <v>1927</v>
      </c>
      <c r="N20" s="714"/>
      <c r="O20" s="714"/>
      <c r="P20" s="714"/>
    </row>
    <row r="21" spans="1:16" s="5" customFormat="1" ht="54">
      <c r="A21" s="82">
        <v>15</v>
      </c>
      <c r="B21" s="354" t="s">
        <v>75</v>
      </c>
      <c r="C21" s="354" t="s">
        <v>1926</v>
      </c>
      <c r="D21" s="705" t="s">
        <v>320</v>
      </c>
      <c r="E21" s="40" t="s">
        <v>322</v>
      </c>
      <c r="F21" s="30">
        <v>72000</v>
      </c>
      <c r="G21" s="718" t="s">
        <v>23</v>
      </c>
      <c r="H21" s="718" t="s">
        <v>77</v>
      </c>
      <c r="I21" s="718">
        <v>1399</v>
      </c>
      <c r="J21" s="718" t="s">
        <v>25</v>
      </c>
      <c r="K21" s="106">
        <v>1</v>
      </c>
      <c r="L21" s="714"/>
      <c r="M21" s="349" t="s">
        <v>1927</v>
      </c>
      <c r="N21" s="714"/>
      <c r="O21" s="714"/>
      <c r="P21" s="714"/>
    </row>
    <row r="22" spans="1:16" s="26" customFormat="1" ht="42" customHeight="1">
      <c r="A22" s="82">
        <v>16</v>
      </c>
      <c r="B22" s="354" t="s">
        <v>75</v>
      </c>
      <c r="C22" s="354"/>
      <c r="D22" s="705" t="s">
        <v>21</v>
      </c>
      <c r="E22" s="40" t="s">
        <v>117</v>
      </c>
      <c r="F22" s="30">
        <v>1280000</v>
      </c>
      <c r="G22" s="718" t="s">
        <v>23</v>
      </c>
      <c r="H22" s="718" t="s">
        <v>77</v>
      </c>
      <c r="I22" s="718">
        <v>1399</v>
      </c>
      <c r="J22" s="718" t="s">
        <v>25</v>
      </c>
      <c r="K22" s="106">
        <v>1</v>
      </c>
      <c r="L22" s="718"/>
      <c r="M22" s="349" t="s">
        <v>1927</v>
      </c>
      <c r="N22" s="718"/>
      <c r="O22" s="635"/>
      <c r="P22" s="440"/>
    </row>
    <row r="23" spans="1:16" s="26" customFormat="1" ht="48.75" customHeight="1">
      <c r="A23" s="82">
        <v>17</v>
      </c>
      <c r="B23" s="354" t="s">
        <v>75</v>
      </c>
      <c r="C23" s="354"/>
      <c r="D23" s="705" t="s">
        <v>21</v>
      </c>
      <c r="E23" s="40" t="s">
        <v>79</v>
      </c>
      <c r="F23" s="30">
        <v>52000</v>
      </c>
      <c r="G23" s="718" t="s">
        <v>23</v>
      </c>
      <c r="H23" s="718" t="s">
        <v>77</v>
      </c>
      <c r="I23" s="718">
        <v>1399</v>
      </c>
      <c r="J23" s="718" t="s">
        <v>25</v>
      </c>
      <c r="K23" s="106">
        <v>1</v>
      </c>
      <c r="L23" s="718"/>
      <c r="M23" s="349" t="s">
        <v>1927</v>
      </c>
      <c r="N23" s="718"/>
      <c r="O23" s="635"/>
      <c r="P23" s="440"/>
    </row>
    <row r="24" spans="1:16" s="26" customFormat="1" ht="69.75" customHeight="1">
      <c r="A24" s="82">
        <v>18</v>
      </c>
      <c r="B24" s="354" t="s">
        <v>75</v>
      </c>
      <c r="C24" s="354"/>
      <c r="D24" s="705" t="s">
        <v>21</v>
      </c>
      <c r="E24" s="40" t="s">
        <v>191</v>
      </c>
      <c r="F24" s="30">
        <v>270000</v>
      </c>
      <c r="G24" s="718" t="s">
        <v>23</v>
      </c>
      <c r="H24" s="718" t="s">
        <v>77</v>
      </c>
      <c r="I24" s="718">
        <v>1399</v>
      </c>
      <c r="J24" s="718" t="s">
        <v>25</v>
      </c>
      <c r="K24" s="106">
        <v>1</v>
      </c>
      <c r="L24" s="30"/>
      <c r="M24" s="349" t="s">
        <v>1927</v>
      </c>
      <c r="N24" s="30"/>
      <c r="O24" s="635"/>
      <c r="P24" s="705" t="s">
        <v>17</v>
      </c>
    </row>
    <row r="25" spans="1:16" s="26" customFormat="1" ht="59.25" customHeight="1">
      <c r="A25" s="82">
        <v>19</v>
      </c>
      <c r="B25" s="354" t="s">
        <v>75</v>
      </c>
      <c r="C25" s="354"/>
      <c r="D25" s="705" t="s">
        <v>21</v>
      </c>
      <c r="E25" s="40" t="s">
        <v>27</v>
      </c>
      <c r="F25" s="30">
        <v>40000</v>
      </c>
      <c r="G25" s="718" t="s">
        <v>23</v>
      </c>
      <c r="H25" s="718" t="s">
        <v>77</v>
      </c>
      <c r="I25" s="718">
        <v>1399</v>
      </c>
      <c r="J25" s="718" t="s">
        <v>25</v>
      </c>
      <c r="K25" s="106">
        <v>1</v>
      </c>
      <c r="L25" s="30"/>
      <c r="M25" s="349" t="s">
        <v>1927</v>
      </c>
      <c r="N25" s="30"/>
      <c r="O25" s="635"/>
      <c r="P25" s="705" t="s">
        <v>17</v>
      </c>
    </row>
    <row r="26" spans="1:16" s="26" customFormat="1" ht="66" customHeight="1">
      <c r="A26" s="82">
        <v>20</v>
      </c>
      <c r="B26" s="354" t="s">
        <v>75</v>
      </c>
      <c r="C26" s="354"/>
      <c r="D26" s="705" t="s">
        <v>28</v>
      </c>
      <c r="E26" s="349" t="s">
        <v>1925</v>
      </c>
      <c r="F26" s="30">
        <v>18900000</v>
      </c>
      <c r="G26" s="718" t="s">
        <v>23</v>
      </c>
      <c r="H26" s="718" t="s">
        <v>77</v>
      </c>
      <c r="I26" s="718">
        <v>1399</v>
      </c>
      <c r="J26" s="718" t="s">
        <v>25</v>
      </c>
      <c r="K26" s="106">
        <v>1</v>
      </c>
      <c r="L26" s="40"/>
      <c r="M26" s="349" t="s">
        <v>1927</v>
      </c>
      <c r="N26" s="22"/>
      <c r="O26" s="40"/>
      <c r="P26" s="25" t="s">
        <v>17</v>
      </c>
    </row>
    <row r="27" spans="1:16" s="26" customFormat="1" ht="152.25" customHeight="1">
      <c r="A27" s="82">
        <v>21</v>
      </c>
      <c r="B27" s="354" t="s">
        <v>75</v>
      </c>
      <c r="C27" s="354"/>
      <c r="D27" s="705" t="s">
        <v>28</v>
      </c>
      <c r="E27" s="40" t="s">
        <v>1924</v>
      </c>
      <c r="F27" s="30">
        <v>180000</v>
      </c>
      <c r="G27" s="718" t="s">
        <v>23</v>
      </c>
      <c r="H27" s="718" t="s">
        <v>77</v>
      </c>
      <c r="I27" s="718">
        <v>1399</v>
      </c>
      <c r="J27" s="718" t="s">
        <v>25</v>
      </c>
      <c r="K27" s="106">
        <v>1</v>
      </c>
      <c r="L27" s="111"/>
      <c r="M27" s="349" t="s">
        <v>1927</v>
      </c>
      <c r="N27" s="111"/>
      <c r="O27" s="635"/>
      <c r="P27" s="440"/>
    </row>
    <row r="28" spans="1:16" s="26" customFormat="1" ht="138.75" customHeight="1">
      <c r="A28" s="82">
        <v>22</v>
      </c>
      <c r="B28" s="354" t="s">
        <v>75</v>
      </c>
      <c r="C28" s="354"/>
      <c r="D28" s="705" t="s">
        <v>28</v>
      </c>
      <c r="E28" s="349" t="s">
        <v>99</v>
      </c>
      <c r="F28" s="30">
        <v>62250</v>
      </c>
      <c r="G28" s="718" t="s">
        <v>23</v>
      </c>
      <c r="H28" s="718" t="s">
        <v>77</v>
      </c>
      <c r="I28" s="718">
        <v>1399</v>
      </c>
      <c r="J28" s="718" t="s">
        <v>25</v>
      </c>
      <c r="K28" s="738">
        <v>1</v>
      </c>
      <c r="L28" s="111"/>
      <c r="M28" s="40" t="s">
        <v>326</v>
      </c>
      <c r="N28" s="111"/>
      <c r="O28" s="635"/>
      <c r="P28" s="440"/>
    </row>
    <row r="29" spans="1:16" s="26" customFormat="1" ht="77.25" customHeight="1">
      <c r="A29" s="82">
        <v>23</v>
      </c>
      <c r="B29" s="354" t="s">
        <v>75</v>
      </c>
      <c r="C29" s="354"/>
      <c r="D29" s="705" t="s">
        <v>31</v>
      </c>
      <c r="E29" s="40" t="s">
        <v>34</v>
      </c>
      <c r="F29" s="30">
        <v>502773</v>
      </c>
      <c r="G29" s="718" t="s">
        <v>23</v>
      </c>
      <c r="H29" s="718" t="s">
        <v>77</v>
      </c>
      <c r="I29" s="718">
        <v>1399</v>
      </c>
      <c r="J29" s="718" t="s">
        <v>25</v>
      </c>
      <c r="K29" s="106">
        <v>1</v>
      </c>
      <c r="L29" s="111"/>
      <c r="M29" s="40" t="s">
        <v>33</v>
      </c>
      <c r="N29" s="111"/>
      <c r="O29" s="440"/>
      <c r="P29" s="440"/>
    </row>
    <row r="30" spans="1:16" s="26" customFormat="1" ht="57" customHeight="1">
      <c r="A30" s="82">
        <v>24</v>
      </c>
      <c r="B30" s="354" t="s">
        <v>75</v>
      </c>
      <c r="C30" s="354"/>
      <c r="D30" s="705" t="s">
        <v>31</v>
      </c>
      <c r="E30" s="40" t="s">
        <v>32</v>
      </c>
      <c r="F30" s="30">
        <v>414040</v>
      </c>
      <c r="G30" s="718" t="s">
        <v>23</v>
      </c>
      <c r="H30" s="718" t="s">
        <v>77</v>
      </c>
      <c r="I30" s="718">
        <v>1399</v>
      </c>
      <c r="J30" s="718" t="s">
        <v>25</v>
      </c>
      <c r="K30" s="106">
        <v>1</v>
      </c>
      <c r="L30" s="30"/>
      <c r="M30" s="737" t="s">
        <v>33</v>
      </c>
      <c r="N30" s="30"/>
      <c r="O30" s="440"/>
      <c r="P30" s="440"/>
    </row>
    <row r="31" spans="1:16" s="26" customFormat="1" ht="86.25" customHeight="1">
      <c r="A31" s="82">
        <v>25</v>
      </c>
      <c r="B31" s="354" t="s">
        <v>75</v>
      </c>
      <c r="C31" s="354"/>
      <c r="D31" s="705" t="s">
        <v>31</v>
      </c>
      <c r="E31" s="40" t="s">
        <v>248</v>
      </c>
      <c r="F31" s="30">
        <v>12000000</v>
      </c>
      <c r="G31" s="718" t="s">
        <v>23</v>
      </c>
      <c r="H31" s="718" t="s">
        <v>77</v>
      </c>
      <c r="I31" s="718">
        <v>1399</v>
      </c>
      <c r="J31" s="718" t="s">
        <v>25</v>
      </c>
      <c r="K31" s="106">
        <v>1</v>
      </c>
      <c r="L31" s="30"/>
      <c r="M31" s="737" t="s">
        <v>33</v>
      </c>
      <c r="N31" s="30"/>
      <c r="O31" s="440"/>
      <c r="P31" s="440"/>
    </row>
    <row r="32" spans="1:16" s="26" customFormat="1" ht="36">
      <c r="A32" s="82">
        <v>26</v>
      </c>
      <c r="B32" s="354" t="s">
        <v>75</v>
      </c>
      <c r="C32" s="354"/>
      <c r="D32" s="705" t="s">
        <v>31</v>
      </c>
      <c r="E32" s="40" t="s">
        <v>1923</v>
      </c>
      <c r="F32" s="706">
        <v>10891500</v>
      </c>
      <c r="G32" s="718" t="s">
        <v>23</v>
      </c>
      <c r="H32" s="718" t="s">
        <v>77</v>
      </c>
      <c r="I32" s="718">
        <v>1399</v>
      </c>
      <c r="J32" s="718" t="s">
        <v>25</v>
      </c>
      <c r="K32" s="106"/>
      <c r="L32" s="718" t="s">
        <v>35</v>
      </c>
      <c r="M32" s="40"/>
      <c r="N32" s="22" t="s">
        <v>36</v>
      </c>
      <c r="O32" s="40" t="s">
        <v>1921</v>
      </c>
      <c r="P32" s="440"/>
    </row>
    <row r="33" spans="1:16" s="26" customFormat="1" ht="36">
      <c r="A33" s="82">
        <v>27</v>
      </c>
      <c r="B33" s="354" t="s">
        <v>75</v>
      </c>
      <c r="C33" s="354"/>
      <c r="D33" s="705" t="s">
        <v>31</v>
      </c>
      <c r="E33" s="40" t="s">
        <v>1922</v>
      </c>
      <c r="F33" s="706">
        <v>100000</v>
      </c>
      <c r="G33" s="718" t="s">
        <v>23</v>
      </c>
      <c r="H33" s="718" t="s">
        <v>77</v>
      </c>
      <c r="I33" s="718">
        <v>1399</v>
      </c>
      <c r="J33" s="718" t="s">
        <v>25</v>
      </c>
      <c r="K33" s="106"/>
      <c r="L33" s="718" t="s">
        <v>35</v>
      </c>
      <c r="M33" s="40"/>
      <c r="N33" s="22" t="s">
        <v>36</v>
      </c>
      <c r="O33" s="40" t="s">
        <v>1921</v>
      </c>
      <c r="P33" s="440"/>
    </row>
    <row r="34" spans="1:16" s="26" customFormat="1" ht="36">
      <c r="A34" s="82">
        <v>28</v>
      </c>
      <c r="B34" s="354" t="s">
        <v>75</v>
      </c>
      <c r="C34" s="354"/>
      <c r="D34" s="705" t="s">
        <v>31</v>
      </c>
      <c r="E34" s="40" t="s">
        <v>1920</v>
      </c>
      <c r="F34" s="30">
        <v>1000000</v>
      </c>
      <c r="G34" s="718" t="s">
        <v>23</v>
      </c>
      <c r="H34" s="718" t="s">
        <v>77</v>
      </c>
      <c r="I34" s="718">
        <v>1399</v>
      </c>
      <c r="J34" s="718" t="s">
        <v>25</v>
      </c>
      <c r="K34" s="106">
        <v>1</v>
      </c>
      <c r="L34" s="30"/>
      <c r="M34" s="40" t="s">
        <v>1895</v>
      </c>
      <c r="N34" s="30"/>
      <c r="O34" s="440"/>
      <c r="P34" s="440"/>
    </row>
    <row r="35" spans="1:16" s="26" customFormat="1" ht="36">
      <c r="A35" s="82">
        <v>29</v>
      </c>
      <c r="B35" s="354" t="s">
        <v>75</v>
      </c>
      <c r="C35" s="354"/>
      <c r="D35" s="705" t="s">
        <v>31</v>
      </c>
      <c r="E35" s="40" t="s">
        <v>38</v>
      </c>
      <c r="F35" s="30">
        <v>242500</v>
      </c>
      <c r="G35" s="718" t="s">
        <v>23</v>
      </c>
      <c r="H35" s="718" t="s">
        <v>77</v>
      </c>
      <c r="I35" s="718">
        <v>1399</v>
      </c>
      <c r="J35" s="718" t="s">
        <v>25</v>
      </c>
      <c r="K35" s="106">
        <v>1</v>
      </c>
      <c r="L35" s="30"/>
      <c r="M35" s="737" t="s">
        <v>33</v>
      </c>
      <c r="N35" s="30"/>
      <c r="O35" s="440"/>
      <c r="P35" s="440"/>
    </row>
    <row r="36" spans="1:16" s="34" customFormat="1" ht="45" customHeight="1">
      <c r="A36" s="82">
        <v>30</v>
      </c>
      <c r="B36" s="354" t="s">
        <v>75</v>
      </c>
      <c r="C36" s="354"/>
      <c r="D36" s="705" t="s">
        <v>40</v>
      </c>
      <c r="E36" s="349" t="s">
        <v>1919</v>
      </c>
      <c r="F36" s="30">
        <f>4*1413600</f>
        <v>5654400</v>
      </c>
      <c r="G36" s="718" t="s">
        <v>23</v>
      </c>
      <c r="H36" s="718" t="s">
        <v>41</v>
      </c>
      <c r="I36" s="718">
        <v>1399</v>
      </c>
      <c r="J36" s="718" t="s">
        <v>25</v>
      </c>
      <c r="K36" s="106">
        <v>1</v>
      </c>
      <c r="L36" s="30"/>
      <c r="M36" s="737" t="s">
        <v>33</v>
      </c>
      <c r="N36" s="30"/>
      <c r="O36" s="112"/>
      <c r="P36" s="440"/>
    </row>
    <row r="37" spans="1:16" s="34" customFormat="1" ht="36">
      <c r="A37" s="82">
        <v>31</v>
      </c>
      <c r="B37" s="354" t="s">
        <v>75</v>
      </c>
      <c r="C37" s="354"/>
      <c r="D37" s="705" t="s">
        <v>40</v>
      </c>
      <c r="E37" s="349" t="s">
        <v>196</v>
      </c>
      <c r="F37" s="30">
        <f>150* 58032</f>
        <v>8704800</v>
      </c>
      <c r="G37" s="718" t="s">
        <v>23</v>
      </c>
      <c r="H37" s="718" t="s">
        <v>41</v>
      </c>
      <c r="I37" s="718">
        <v>1399</v>
      </c>
      <c r="J37" s="718" t="s">
        <v>25</v>
      </c>
      <c r="K37" s="106">
        <v>1</v>
      </c>
      <c r="L37" s="30"/>
      <c r="M37" s="737" t="s">
        <v>33</v>
      </c>
      <c r="N37" s="30"/>
      <c r="O37" s="440"/>
      <c r="P37" s="440"/>
    </row>
    <row r="38" spans="1:16" s="34" customFormat="1" ht="50.45" customHeight="1">
      <c r="A38" s="82">
        <v>32</v>
      </c>
      <c r="B38" s="354" t="s">
        <v>75</v>
      </c>
      <c r="C38" s="354"/>
      <c r="D38" s="705" t="s">
        <v>40</v>
      </c>
      <c r="E38" s="349" t="s">
        <v>249</v>
      </c>
      <c r="F38" s="113" t="s">
        <v>17</v>
      </c>
      <c r="G38" s="718" t="s">
        <v>17</v>
      </c>
      <c r="H38" s="718" t="s">
        <v>17</v>
      </c>
      <c r="I38" s="718">
        <v>1399</v>
      </c>
      <c r="J38" s="718" t="s">
        <v>25</v>
      </c>
      <c r="K38" s="106">
        <v>1</v>
      </c>
      <c r="L38" s="30"/>
      <c r="M38" s="737" t="s">
        <v>33</v>
      </c>
      <c r="N38" s="30"/>
      <c r="O38" s="114"/>
      <c r="P38" s="635" t="s">
        <v>324</v>
      </c>
    </row>
    <row r="39" spans="1:16" s="34" customFormat="1" ht="36">
      <c r="A39" s="82">
        <v>33</v>
      </c>
      <c r="B39" s="354" t="s">
        <v>75</v>
      </c>
      <c r="C39" s="354"/>
      <c r="D39" s="705" t="s">
        <v>40</v>
      </c>
      <c r="E39" s="349" t="s">
        <v>1918</v>
      </c>
      <c r="F39" s="30">
        <f>5* 848904</f>
        <v>4244520</v>
      </c>
      <c r="G39" s="718" t="s">
        <v>23</v>
      </c>
      <c r="H39" s="718" t="s">
        <v>41</v>
      </c>
      <c r="I39" s="718">
        <v>1399</v>
      </c>
      <c r="J39" s="718" t="s">
        <v>25</v>
      </c>
      <c r="K39" s="106">
        <v>1</v>
      </c>
      <c r="L39" s="30"/>
      <c r="M39" s="737" t="s">
        <v>33</v>
      </c>
      <c r="N39" s="30"/>
      <c r="O39" s="112"/>
      <c r="P39" s="635"/>
    </row>
    <row r="40" spans="1:16" s="34" customFormat="1" ht="80.45" customHeight="1">
      <c r="A40" s="82">
        <v>34</v>
      </c>
      <c r="B40" s="354" t="s">
        <v>75</v>
      </c>
      <c r="C40" s="354"/>
      <c r="D40" s="705" t="s">
        <v>40</v>
      </c>
      <c r="E40" s="89" t="s">
        <v>159</v>
      </c>
      <c r="F40" s="30">
        <f>5* 102300</f>
        <v>511500</v>
      </c>
      <c r="G40" s="718" t="s">
        <v>23</v>
      </c>
      <c r="H40" s="718" t="s">
        <v>41</v>
      </c>
      <c r="I40" s="718">
        <v>1399</v>
      </c>
      <c r="J40" s="718" t="s">
        <v>25</v>
      </c>
      <c r="K40" s="106">
        <v>1</v>
      </c>
      <c r="L40" s="30" t="s">
        <v>947</v>
      </c>
      <c r="M40" s="737" t="s">
        <v>33</v>
      </c>
      <c r="N40" s="22" t="s">
        <v>325</v>
      </c>
      <c r="O40" s="22" t="s">
        <v>970</v>
      </c>
      <c r="P40" s="440"/>
    </row>
    <row r="41" spans="1:16" s="34" customFormat="1" ht="96.6" customHeight="1">
      <c r="A41" s="82">
        <v>35</v>
      </c>
      <c r="B41" s="354" t="s">
        <v>75</v>
      </c>
      <c r="C41" s="354"/>
      <c r="D41" s="705" t="s">
        <v>40</v>
      </c>
      <c r="E41" s="89" t="s">
        <v>1917</v>
      </c>
      <c r="F41" s="113">
        <f>4*68634</f>
        <v>274536</v>
      </c>
      <c r="G41" s="718" t="s">
        <v>23</v>
      </c>
      <c r="H41" s="718" t="s">
        <v>41</v>
      </c>
      <c r="I41" s="718">
        <v>1399</v>
      </c>
      <c r="J41" s="718" t="s">
        <v>25</v>
      </c>
      <c r="K41" s="106">
        <v>1</v>
      </c>
      <c r="L41" s="30" t="s">
        <v>947</v>
      </c>
      <c r="M41" s="737" t="s">
        <v>33</v>
      </c>
      <c r="N41" s="22" t="s">
        <v>325</v>
      </c>
      <c r="O41" s="22" t="s">
        <v>970</v>
      </c>
      <c r="P41" s="440"/>
    </row>
    <row r="42" spans="1:16" s="34" customFormat="1" ht="103.9" customHeight="1">
      <c r="A42" s="82">
        <v>36</v>
      </c>
      <c r="B42" s="354" t="s">
        <v>75</v>
      </c>
      <c r="C42" s="354"/>
      <c r="D42" s="705" t="s">
        <v>40</v>
      </c>
      <c r="E42" s="349" t="s">
        <v>161</v>
      </c>
      <c r="F42" s="30">
        <f>5* 223200</f>
        <v>1116000</v>
      </c>
      <c r="G42" s="718" t="s">
        <v>23</v>
      </c>
      <c r="H42" s="718" t="s">
        <v>41</v>
      </c>
      <c r="I42" s="718">
        <v>1399</v>
      </c>
      <c r="J42" s="718" t="s">
        <v>25</v>
      </c>
      <c r="K42" s="106">
        <v>1</v>
      </c>
      <c r="L42" s="30" t="s">
        <v>947</v>
      </c>
      <c r="M42" s="737" t="s">
        <v>33</v>
      </c>
      <c r="N42" s="22" t="s">
        <v>325</v>
      </c>
      <c r="O42" s="22" t="s">
        <v>970</v>
      </c>
      <c r="P42" s="440"/>
    </row>
    <row r="43" spans="1:16" s="34" customFormat="1" ht="90">
      <c r="A43" s="82">
        <v>37</v>
      </c>
      <c r="B43" s="354" t="s">
        <v>75</v>
      </c>
      <c r="C43" s="354"/>
      <c r="D43" s="705" t="s">
        <v>40</v>
      </c>
      <c r="E43" s="349" t="s">
        <v>85</v>
      </c>
      <c r="F43" s="30">
        <f>3* 304452</f>
        <v>913356</v>
      </c>
      <c r="G43" s="718" t="s">
        <v>23</v>
      </c>
      <c r="H43" s="718" t="s">
        <v>41</v>
      </c>
      <c r="I43" s="718">
        <v>1399</v>
      </c>
      <c r="J43" s="718" t="s">
        <v>25</v>
      </c>
      <c r="K43" s="106">
        <v>1</v>
      </c>
      <c r="L43" s="30" t="s">
        <v>947</v>
      </c>
      <c r="M43" s="737" t="s">
        <v>33</v>
      </c>
      <c r="N43" s="22" t="s">
        <v>325</v>
      </c>
      <c r="O43" s="22" t="s">
        <v>970</v>
      </c>
      <c r="P43" s="440"/>
    </row>
    <row r="44" spans="1:16" s="34" customFormat="1" ht="93.6" customHeight="1">
      <c r="A44" s="82">
        <v>38</v>
      </c>
      <c r="B44" s="354" t="s">
        <v>75</v>
      </c>
      <c r="C44" s="354"/>
      <c r="D44" s="705" t="s">
        <v>40</v>
      </c>
      <c r="E44" s="349" t="s">
        <v>188</v>
      </c>
      <c r="F44" s="30">
        <f>5* 404438</f>
        <v>2022190</v>
      </c>
      <c r="G44" s="718" t="s">
        <v>23</v>
      </c>
      <c r="H44" s="718" t="s">
        <v>41</v>
      </c>
      <c r="I44" s="718">
        <v>1399</v>
      </c>
      <c r="J44" s="718" t="s">
        <v>25</v>
      </c>
      <c r="K44" s="106">
        <v>1</v>
      </c>
      <c r="L44" s="30" t="s">
        <v>947</v>
      </c>
      <c r="M44" s="737" t="s">
        <v>33</v>
      </c>
      <c r="N44" s="22" t="s">
        <v>325</v>
      </c>
      <c r="O44" s="22" t="s">
        <v>970</v>
      </c>
      <c r="P44" s="440"/>
    </row>
    <row r="45" spans="1:16" s="34" customFormat="1" ht="36">
      <c r="A45" s="82">
        <v>39</v>
      </c>
      <c r="B45" s="354" t="s">
        <v>75</v>
      </c>
      <c r="C45" s="354"/>
      <c r="D45" s="705" t="s">
        <v>40</v>
      </c>
      <c r="E45" s="349" t="s">
        <v>250</v>
      </c>
      <c r="F45" s="30">
        <f>1710*148</f>
        <v>253080</v>
      </c>
      <c r="G45" s="718" t="s">
        <v>23</v>
      </c>
      <c r="H45" s="718" t="s">
        <v>41</v>
      </c>
      <c r="I45" s="718">
        <v>1399</v>
      </c>
      <c r="J45" s="718" t="s">
        <v>25</v>
      </c>
      <c r="K45" s="106">
        <v>1</v>
      </c>
      <c r="L45" s="30"/>
      <c r="M45" s="737" t="s">
        <v>33</v>
      </c>
      <c r="N45" s="30"/>
      <c r="O45" s="440"/>
      <c r="P45" s="440"/>
    </row>
    <row r="46" spans="1:16" s="34" customFormat="1" ht="90">
      <c r="A46" s="82">
        <v>40</v>
      </c>
      <c r="B46" s="354" t="s">
        <v>75</v>
      </c>
      <c r="C46" s="354"/>
      <c r="D46" s="705" t="s">
        <v>40</v>
      </c>
      <c r="E46" s="349" t="s">
        <v>45</v>
      </c>
      <c r="F46" s="30">
        <f>4* 375000</f>
        <v>1500000</v>
      </c>
      <c r="G46" s="718" t="s">
        <v>23</v>
      </c>
      <c r="H46" s="718" t="s">
        <v>41</v>
      </c>
      <c r="I46" s="718">
        <v>1399</v>
      </c>
      <c r="J46" s="718" t="s">
        <v>25</v>
      </c>
      <c r="K46" s="106">
        <v>1</v>
      </c>
      <c r="L46" s="30" t="s">
        <v>947</v>
      </c>
      <c r="M46" s="737" t="s">
        <v>33</v>
      </c>
      <c r="N46" s="22" t="s">
        <v>325</v>
      </c>
      <c r="O46" s="22" t="s">
        <v>970</v>
      </c>
      <c r="P46" s="440"/>
    </row>
    <row r="47" spans="1:16" s="34" customFormat="1" ht="36">
      <c r="A47" s="82">
        <v>41</v>
      </c>
      <c r="B47" s="354" t="s">
        <v>75</v>
      </c>
      <c r="C47" s="354"/>
      <c r="D47" s="705" t="s">
        <v>40</v>
      </c>
      <c r="E47" s="349" t="s">
        <v>1916</v>
      </c>
      <c r="F47" s="30">
        <v>372000</v>
      </c>
      <c r="G47" s="718" t="s">
        <v>23</v>
      </c>
      <c r="H47" s="718" t="s">
        <v>41</v>
      </c>
      <c r="I47" s="718">
        <v>1399</v>
      </c>
      <c r="J47" s="718" t="s">
        <v>25</v>
      </c>
      <c r="K47" s="106">
        <v>1</v>
      </c>
      <c r="L47" s="30"/>
      <c r="M47" s="737" t="s">
        <v>33</v>
      </c>
      <c r="N47" s="30"/>
      <c r="O47" s="440"/>
      <c r="P47" s="440"/>
    </row>
    <row r="48" spans="1:16" s="34" customFormat="1" ht="90">
      <c r="A48" s="82">
        <v>42</v>
      </c>
      <c r="B48" s="354" t="s">
        <v>75</v>
      </c>
      <c r="C48" s="354"/>
      <c r="D48" s="705" t="s">
        <v>40</v>
      </c>
      <c r="E48" s="349" t="s">
        <v>251</v>
      </c>
      <c r="F48" s="30">
        <f>49* 22320</f>
        <v>1093680</v>
      </c>
      <c r="G48" s="718" t="s">
        <v>23</v>
      </c>
      <c r="H48" s="718" t="s">
        <v>41</v>
      </c>
      <c r="I48" s="718">
        <v>1399</v>
      </c>
      <c r="J48" s="718" t="s">
        <v>25</v>
      </c>
      <c r="K48" s="106">
        <v>1</v>
      </c>
      <c r="L48" s="30" t="s">
        <v>947</v>
      </c>
      <c r="M48" s="737" t="s">
        <v>33</v>
      </c>
      <c r="N48" s="22" t="s">
        <v>325</v>
      </c>
      <c r="O48" s="22" t="s">
        <v>970</v>
      </c>
      <c r="P48" s="440"/>
    </row>
    <row r="49" spans="1:16" s="34" customFormat="1" ht="54">
      <c r="A49" s="82">
        <v>43</v>
      </c>
      <c r="B49" s="354" t="s">
        <v>75</v>
      </c>
      <c r="C49" s="354"/>
      <c r="D49" s="705" t="s">
        <v>40</v>
      </c>
      <c r="E49" s="349" t="s">
        <v>186</v>
      </c>
      <c r="F49" s="30">
        <f>4* 297600</f>
        <v>1190400</v>
      </c>
      <c r="G49" s="718" t="s">
        <v>23</v>
      </c>
      <c r="H49" s="718" t="s">
        <v>41</v>
      </c>
      <c r="I49" s="718">
        <v>1399</v>
      </c>
      <c r="J49" s="718" t="s">
        <v>25</v>
      </c>
      <c r="K49" s="106">
        <v>1</v>
      </c>
      <c r="L49" s="30"/>
      <c r="M49" s="737" t="s">
        <v>33</v>
      </c>
      <c r="N49" s="30"/>
      <c r="O49" s="440"/>
      <c r="P49" s="440"/>
    </row>
    <row r="50" spans="1:16" s="34" customFormat="1" ht="36">
      <c r="A50" s="82">
        <v>44</v>
      </c>
      <c r="B50" s="354" t="s">
        <v>75</v>
      </c>
      <c r="C50" s="354"/>
      <c r="D50" s="705" t="s">
        <v>40</v>
      </c>
      <c r="E50" s="349" t="s">
        <v>204</v>
      </c>
      <c r="F50" s="30">
        <f>100* 3645</f>
        <v>364500</v>
      </c>
      <c r="G50" s="718" t="s">
        <v>23</v>
      </c>
      <c r="H50" s="718" t="s">
        <v>41</v>
      </c>
      <c r="I50" s="718">
        <v>1399</v>
      </c>
      <c r="J50" s="718" t="s">
        <v>25</v>
      </c>
      <c r="K50" s="106">
        <v>1</v>
      </c>
      <c r="L50" s="30"/>
      <c r="M50" s="737" t="s">
        <v>33</v>
      </c>
      <c r="N50" s="30"/>
      <c r="O50" s="440"/>
      <c r="P50" s="440"/>
    </row>
    <row r="51" spans="1:16" s="34" customFormat="1" ht="54">
      <c r="A51" s="82">
        <v>45</v>
      </c>
      <c r="B51" s="354" t="s">
        <v>75</v>
      </c>
      <c r="C51" s="354"/>
      <c r="D51" s="705" t="s">
        <v>40</v>
      </c>
      <c r="E51" s="349" t="s">
        <v>88</v>
      </c>
      <c r="F51" s="30">
        <f>5* 44640</f>
        <v>223200</v>
      </c>
      <c r="G51" s="718" t="s">
        <v>23</v>
      </c>
      <c r="H51" s="718" t="s">
        <v>41</v>
      </c>
      <c r="I51" s="718">
        <v>1399</v>
      </c>
      <c r="J51" s="718" t="s">
        <v>25</v>
      </c>
      <c r="K51" s="106">
        <v>1</v>
      </c>
      <c r="L51" s="30"/>
      <c r="M51" s="737" t="s">
        <v>33</v>
      </c>
      <c r="N51" s="30"/>
      <c r="O51" s="440"/>
      <c r="P51" s="440"/>
    </row>
    <row r="52" spans="1:16" s="34" customFormat="1" ht="90">
      <c r="A52" s="82">
        <v>46</v>
      </c>
      <c r="B52" s="354" t="s">
        <v>75</v>
      </c>
      <c r="C52" s="354"/>
      <c r="D52" s="705" t="s">
        <v>40</v>
      </c>
      <c r="E52" s="349" t="s">
        <v>252</v>
      </c>
      <c r="F52" s="30">
        <f>20* 52471</f>
        <v>1049420</v>
      </c>
      <c r="G52" s="718" t="s">
        <v>23</v>
      </c>
      <c r="H52" s="718" t="s">
        <v>41</v>
      </c>
      <c r="I52" s="718">
        <v>1399</v>
      </c>
      <c r="J52" s="718" t="s">
        <v>25</v>
      </c>
      <c r="K52" s="106">
        <v>1</v>
      </c>
      <c r="L52" s="30" t="s">
        <v>947</v>
      </c>
      <c r="M52" s="737" t="s">
        <v>33</v>
      </c>
      <c r="N52" s="22" t="s">
        <v>325</v>
      </c>
      <c r="O52" s="22" t="s">
        <v>970</v>
      </c>
      <c r="P52" s="440"/>
    </row>
    <row r="53" spans="1:16" s="34" customFormat="1" ht="54">
      <c r="A53" s="82">
        <v>47</v>
      </c>
      <c r="B53" s="354" t="s">
        <v>75</v>
      </c>
      <c r="C53" s="354"/>
      <c r="D53" s="705" t="s">
        <v>40</v>
      </c>
      <c r="E53" s="349" t="s">
        <v>1915</v>
      </c>
      <c r="F53" s="30">
        <f>200* 2804</f>
        <v>560800</v>
      </c>
      <c r="G53" s="718" t="s">
        <v>23</v>
      </c>
      <c r="H53" s="718" t="s">
        <v>41</v>
      </c>
      <c r="I53" s="718">
        <v>1399</v>
      </c>
      <c r="J53" s="718" t="s">
        <v>25</v>
      </c>
      <c r="K53" s="106">
        <v>1</v>
      </c>
      <c r="L53" s="30"/>
      <c r="M53" s="737" t="s">
        <v>33</v>
      </c>
      <c r="N53" s="30"/>
      <c r="O53" s="440"/>
      <c r="P53" s="440"/>
    </row>
    <row r="54" spans="1:16" s="34" customFormat="1" ht="36">
      <c r="A54" s="82">
        <v>48</v>
      </c>
      <c r="B54" s="354" t="s">
        <v>75</v>
      </c>
      <c r="C54" s="354"/>
      <c r="D54" s="705" t="s">
        <v>40</v>
      </c>
      <c r="E54" s="164" t="s">
        <v>964</v>
      </c>
      <c r="F54" s="184">
        <f>350*2617</f>
        <v>915950</v>
      </c>
      <c r="G54" s="707" t="s">
        <v>23</v>
      </c>
      <c r="H54" s="705" t="s">
        <v>41</v>
      </c>
      <c r="I54" s="707">
        <v>1399</v>
      </c>
      <c r="J54" s="707" t="s">
        <v>852</v>
      </c>
      <c r="K54" s="275">
        <v>1</v>
      </c>
      <c r="L54" s="712"/>
      <c r="M54" s="737" t="s">
        <v>33</v>
      </c>
      <c r="N54" s="30"/>
      <c r="O54" s="440"/>
      <c r="P54" s="440"/>
    </row>
    <row r="55" spans="1:16" s="34" customFormat="1" ht="36">
      <c r="A55" s="82">
        <v>49</v>
      </c>
      <c r="B55" s="354" t="s">
        <v>75</v>
      </c>
      <c r="C55" s="354"/>
      <c r="D55" s="705" t="s">
        <v>40</v>
      </c>
      <c r="E55" s="349" t="s">
        <v>1914</v>
      </c>
      <c r="F55" s="30">
        <f>5* 42514</f>
        <v>212570</v>
      </c>
      <c r="G55" s="718" t="s">
        <v>23</v>
      </c>
      <c r="H55" s="718" t="s">
        <v>41</v>
      </c>
      <c r="I55" s="718">
        <v>1399</v>
      </c>
      <c r="J55" s="718" t="s">
        <v>25</v>
      </c>
      <c r="K55" s="275">
        <v>1</v>
      </c>
      <c r="L55" s="30"/>
      <c r="M55" s="737" t="s">
        <v>33</v>
      </c>
      <c r="N55" s="30"/>
      <c r="O55" s="440"/>
      <c r="P55" s="440"/>
    </row>
    <row r="56" spans="1:16" s="34" customFormat="1" ht="90">
      <c r="A56" s="82">
        <v>50</v>
      </c>
      <c r="B56" s="354" t="s">
        <v>75</v>
      </c>
      <c r="C56" s="354"/>
      <c r="D56" s="705" t="s">
        <v>40</v>
      </c>
      <c r="E56" s="40" t="s">
        <v>49</v>
      </c>
      <c r="F56" s="30">
        <f>150*1041</f>
        <v>156150</v>
      </c>
      <c r="G56" s="718" t="s">
        <v>23</v>
      </c>
      <c r="H56" s="718" t="s">
        <v>41</v>
      </c>
      <c r="I56" s="718">
        <v>1399</v>
      </c>
      <c r="J56" s="718" t="s">
        <v>25</v>
      </c>
      <c r="K56" s="275">
        <v>1</v>
      </c>
      <c r="L56" s="30" t="s">
        <v>947</v>
      </c>
      <c r="M56" s="737" t="s">
        <v>33</v>
      </c>
      <c r="N56" s="22" t="s">
        <v>325</v>
      </c>
      <c r="O56" s="22" t="s">
        <v>970</v>
      </c>
      <c r="P56" s="440"/>
    </row>
    <row r="57" spans="1:16" s="34" customFormat="1" ht="90">
      <c r="A57" s="82">
        <v>51</v>
      </c>
      <c r="B57" s="354" t="s">
        <v>75</v>
      </c>
      <c r="C57" s="354"/>
      <c r="D57" s="705" t="s">
        <v>40</v>
      </c>
      <c r="E57" s="40" t="s">
        <v>92</v>
      </c>
      <c r="F57" s="30">
        <f>150* 729</f>
        <v>109350</v>
      </c>
      <c r="G57" s="718" t="s">
        <v>23</v>
      </c>
      <c r="H57" s="718" t="s">
        <v>41</v>
      </c>
      <c r="I57" s="718">
        <v>1399</v>
      </c>
      <c r="J57" s="718" t="s">
        <v>25</v>
      </c>
      <c r="K57" s="275">
        <v>1</v>
      </c>
      <c r="L57" s="30" t="s">
        <v>947</v>
      </c>
      <c r="M57" s="737" t="s">
        <v>33</v>
      </c>
      <c r="N57" s="22" t="s">
        <v>325</v>
      </c>
      <c r="O57" s="22" t="s">
        <v>970</v>
      </c>
      <c r="P57" s="440"/>
    </row>
    <row r="58" spans="1:16" s="34" customFormat="1" ht="90">
      <c r="A58" s="82">
        <v>52</v>
      </c>
      <c r="B58" s="354" t="s">
        <v>75</v>
      </c>
      <c r="C58" s="354"/>
      <c r="D58" s="705" t="s">
        <v>40</v>
      </c>
      <c r="E58" s="40" t="s">
        <v>103</v>
      </c>
      <c r="F58" s="30">
        <f>150*911</f>
        <v>136650</v>
      </c>
      <c r="G58" s="718" t="s">
        <v>23</v>
      </c>
      <c r="H58" s="718" t="s">
        <v>41</v>
      </c>
      <c r="I58" s="718">
        <v>1399</v>
      </c>
      <c r="J58" s="718" t="s">
        <v>25</v>
      </c>
      <c r="K58" s="275">
        <v>1</v>
      </c>
      <c r="L58" s="30" t="s">
        <v>947</v>
      </c>
      <c r="M58" s="737" t="s">
        <v>33</v>
      </c>
      <c r="N58" s="22" t="s">
        <v>325</v>
      </c>
      <c r="O58" s="22" t="s">
        <v>970</v>
      </c>
      <c r="P58" s="440"/>
    </row>
    <row r="59" spans="1:16" s="34" customFormat="1" ht="36">
      <c r="A59" s="82">
        <v>53</v>
      </c>
      <c r="B59" s="354" t="s">
        <v>75</v>
      </c>
      <c r="C59" s="354"/>
      <c r="D59" s="705" t="s">
        <v>40</v>
      </c>
      <c r="E59" s="349" t="s">
        <v>1913</v>
      </c>
      <c r="F59" s="30">
        <f>1000* 315</f>
        <v>315000</v>
      </c>
      <c r="G59" s="718" t="s">
        <v>23</v>
      </c>
      <c r="H59" s="718" t="s">
        <v>41</v>
      </c>
      <c r="I59" s="718">
        <v>1399</v>
      </c>
      <c r="J59" s="718" t="s">
        <v>25</v>
      </c>
      <c r="K59" s="275">
        <v>1</v>
      </c>
      <c r="L59" s="30"/>
      <c r="M59" s="737" t="s">
        <v>33</v>
      </c>
      <c r="N59" s="30"/>
      <c r="O59" s="440"/>
      <c r="P59" s="440"/>
    </row>
    <row r="60" spans="1:16" s="34" customFormat="1" ht="90">
      <c r="A60" s="82">
        <v>54</v>
      </c>
      <c r="B60" s="354" t="s">
        <v>75</v>
      </c>
      <c r="C60" s="354"/>
      <c r="D60" s="705" t="s">
        <v>40</v>
      </c>
      <c r="E60" s="349" t="s">
        <v>50</v>
      </c>
      <c r="F60" s="30">
        <f>5* 45570</f>
        <v>227850</v>
      </c>
      <c r="G60" s="718" t="s">
        <v>23</v>
      </c>
      <c r="H60" s="718" t="s">
        <v>41</v>
      </c>
      <c r="I60" s="718">
        <v>1399</v>
      </c>
      <c r="J60" s="718" t="s">
        <v>25</v>
      </c>
      <c r="K60" s="275">
        <v>1</v>
      </c>
      <c r="L60" s="30" t="s">
        <v>947</v>
      </c>
      <c r="M60" s="737" t="s">
        <v>33</v>
      </c>
      <c r="N60" s="22" t="s">
        <v>325</v>
      </c>
      <c r="O60" s="22" t="s">
        <v>970</v>
      </c>
      <c r="P60" s="440"/>
    </row>
    <row r="61" spans="1:16" s="34" customFormat="1" ht="90">
      <c r="A61" s="82">
        <v>55</v>
      </c>
      <c r="B61" s="354" t="s">
        <v>75</v>
      </c>
      <c r="C61" s="354"/>
      <c r="D61" s="705" t="s">
        <v>40</v>
      </c>
      <c r="E61" s="349" t="s">
        <v>95</v>
      </c>
      <c r="F61" s="30">
        <f>10* 10416</f>
        <v>104160</v>
      </c>
      <c r="G61" s="718" t="s">
        <v>23</v>
      </c>
      <c r="H61" s="718" t="s">
        <v>41</v>
      </c>
      <c r="I61" s="718">
        <v>1399</v>
      </c>
      <c r="J61" s="718" t="s">
        <v>25</v>
      </c>
      <c r="K61" s="275">
        <v>1</v>
      </c>
      <c r="L61" s="30" t="s">
        <v>947</v>
      </c>
      <c r="M61" s="737" t="s">
        <v>33</v>
      </c>
      <c r="N61" s="22" t="s">
        <v>325</v>
      </c>
      <c r="O61" s="22" t="s">
        <v>970</v>
      </c>
      <c r="P61" s="440"/>
    </row>
    <row r="62" spans="1:16" s="34" customFormat="1" ht="90">
      <c r="A62" s="82">
        <v>56</v>
      </c>
      <c r="B62" s="354" t="s">
        <v>75</v>
      </c>
      <c r="C62" s="354"/>
      <c r="D62" s="705" t="s">
        <v>40</v>
      </c>
      <c r="E62" s="349" t="s">
        <v>1912</v>
      </c>
      <c r="F62" s="30">
        <f>50* 36456</f>
        <v>1822800</v>
      </c>
      <c r="G62" s="718" t="s">
        <v>23</v>
      </c>
      <c r="H62" s="718" t="s">
        <v>41</v>
      </c>
      <c r="I62" s="718">
        <v>1399</v>
      </c>
      <c r="J62" s="718" t="s">
        <v>25</v>
      </c>
      <c r="K62" s="275">
        <v>1</v>
      </c>
      <c r="L62" s="30" t="s">
        <v>947</v>
      </c>
      <c r="M62" s="737" t="s">
        <v>33</v>
      </c>
      <c r="N62" s="22" t="s">
        <v>325</v>
      </c>
      <c r="O62" s="22" t="s">
        <v>970</v>
      </c>
      <c r="P62" s="440"/>
    </row>
    <row r="63" spans="1:16" s="34" customFormat="1" ht="88.9" customHeight="1">
      <c r="A63" s="82">
        <v>57</v>
      </c>
      <c r="B63" s="354" t="s">
        <v>75</v>
      </c>
      <c r="C63" s="354"/>
      <c r="D63" s="705" t="s">
        <v>40</v>
      </c>
      <c r="E63" s="349" t="s">
        <v>126</v>
      </c>
      <c r="F63" s="706">
        <f>5*396797</f>
        <v>1983985</v>
      </c>
      <c r="G63" s="718" t="s">
        <v>23</v>
      </c>
      <c r="H63" s="718" t="s">
        <v>41</v>
      </c>
      <c r="I63" s="718">
        <v>1399</v>
      </c>
      <c r="J63" s="718" t="s">
        <v>25</v>
      </c>
      <c r="K63" s="275">
        <v>1</v>
      </c>
      <c r="L63" s="30" t="s">
        <v>947</v>
      </c>
      <c r="M63" s="737" t="s">
        <v>33</v>
      </c>
      <c r="N63" s="22" t="s">
        <v>325</v>
      </c>
      <c r="O63" s="22" t="s">
        <v>970</v>
      </c>
      <c r="P63" s="440"/>
    </row>
    <row r="64" spans="1:16" s="34" customFormat="1" ht="36">
      <c r="A64" s="82">
        <v>58</v>
      </c>
      <c r="B64" s="354" t="s">
        <v>75</v>
      </c>
      <c r="C64" s="354"/>
      <c r="D64" s="705" t="s">
        <v>40</v>
      </c>
      <c r="E64" s="349" t="s">
        <v>1911</v>
      </c>
      <c r="F64" s="30">
        <f>28000* 31</f>
        <v>868000</v>
      </c>
      <c r="G64" s="718" t="s">
        <v>23</v>
      </c>
      <c r="H64" s="718" t="s">
        <v>41</v>
      </c>
      <c r="I64" s="718">
        <v>1399</v>
      </c>
      <c r="J64" s="718" t="s">
        <v>25</v>
      </c>
      <c r="K64" s="275">
        <v>1</v>
      </c>
      <c r="L64" s="30"/>
      <c r="M64" s="737" t="s">
        <v>33</v>
      </c>
      <c r="N64" s="30"/>
      <c r="O64" s="440"/>
      <c r="P64" s="440"/>
    </row>
    <row r="65" spans="1:21" s="34" customFormat="1" ht="36">
      <c r="A65" s="82">
        <v>59</v>
      </c>
      <c r="B65" s="354" t="s">
        <v>75</v>
      </c>
      <c r="C65" s="354"/>
      <c r="D65" s="705" t="s">
        <v>40</v>
      </c>
      <c r="E65" s="349" t="s">
        <v>1910</v>
      </c>
      <c r="F65" s="30">
        <f>220000* 6.4</f>
        <v>1408000</v>
      </c>
      <c r="G65" s="718" t="s">
        <v>23</v>
      </c>
      <c r="H65" s="718" t="s">
        <v>41</v>
      </c>
      <c r="I65" s="718">
        <v>1399</v>
      </c>
      <c r="J65" s="718" t="s">
        <v>25</v>
      </c>
      <c r="K65" s="275">
        <v>1</v>
      </c>
      <c r="L65" s="30"/>
      <c r="M65" s="737" t="s">
        <v>33</v>
      </c>
      <c r="N65" s="30"/>
      <c r="O65" s="440"/>
      <c r="P65" s="440"/>
    </row>
    <row r="66" spans="1:21" s="34" customFormat="1" ht="72">
      <c r="A66" s="82">
        <v>60</v>
      </c>
      <c r="B66" s="354" t="s">
        <v>75</v>
      </c>
      <c r="C66" s="354"/>
      <c r="D66" s="705" t="s">
        <v>40</v>
      </c>
      <c r="E66" s="349" t="s">
        <v>139</v>
      </c>
      <c r="F66" s="30">
        <f>15* 38500</f>
        <v>577500</v>
      </c>
      <c r="G66" s="718" t="s">
        <v>23</v>
      </c>
      <c r="H66" s="718" t="s">
        <v>41</v>
      </c>
      <c r="I66" s="718">
        <v>1399</v>
      </c>
      <c r="J66" s="718" t="s">
        <v>25</v>
      </c>
      <c r="K66" s="275">
        <v>1</v>
      </c>
      <c r="L66" s="30"/>
      <c r="M66" s="737" t="s">
        <v>33</v>
      </c>
      <c r="N66" s="30"/>
      <c r="O66" s="440"/>
      <c r="P66" s="440"/>
    </row>
    <row r="67" spans="1:21" s="34" customFormat="1" ht="72">
      <c r="A67" s="82">
        <v>61</v>
      </c>
      <c r="B67" s="354" t="s">
        <v>75</v>
      </c>
      <c r="C67" s="354"/>
      <c r="D67" s="705" t="s">
        <v>40</v>
      </c>
      <c r="E67" s="349" t="s">
        <v>254</v>
      </c>
      <c r="F67" s="113">
        <v>280000</v>
      </c>
      <c r="G67" s="718" t="s">
        <v>23</v>
      </c>
      <c r="H67" s="718" t="s">
        <v>41</v>
      </c>
      <c r="I67" s="718">
        <v>1399</v>
      </c>
      <c r="J67" s="718" t="s">
        <v>25</v>
      </c>
      <c r="K67" s="275">
        <v>1</v>
      </c>
      <c r="L67" s="30"/>
      <c r="M67" s="737" t="s">
        <v>33</v>
      </c>
      <c r="N67" s="30"/>
      <c r="O67" s="440"/>
      <c r="P67" s="440"/>
      <c r="U67" s="34">
        <f>SUM(280000,300000,180000,240000,300000,400000,450000,200000,150000)</f>
        <v>2500000</v>
      </c>
    </row>
    <row r="68" spans="1:21" s="34" customFormat="1" ht="72">
      <c r="A68" s="82">
        <v>62</v>
      </c>
      <c r="B68" s="354" t="s">
        <v>75</v>
      </c>
      <c r="C68" s="354"/>
      <c r="D68" s="705" t="s">
        <v>40</v>
      </c>
      <c r="E68" s="349" t="s">
        <v>255</v>
      </c>
      <c r="F68" s="113">
        <v>1100000</v>
      </c>
      <c r="G68" s="718" t="s">
        <v>23</v>
      </c>
      <c r="H68" s="718" t="s">
        <v>41</v>
      </c>
      <c r="I68" s="718">
        <v>1399</v>
      </c>
      <c r="J68" s="718" t="s">
        <v>25</v>
      </c>
      <c r="K68" s="275">
        <v>1</v>
      </c>
      <c r="L68" s="30"/>
      <c r="M68" s="737" t="s">
        <v>33</v>
      </c>
      <c r="N68" s="30"/>
      <c r="O68" s="440"/>
      <c r="P68" s="440"/>
    </row>
    <row r="69" spans="1:21" s="34" customFormat="1" ht="144">
      <c r="A69" s="82">
        <v>63</v>
      </c>
      <c r="B69" s="354" t="s">
        <v>75</v>
      </c>
      <c r="C69" s="354"/>
      <c r="D69" s="705" t="s">
        <v>40</v>
      </c>
      <c r="E69" s="349" t="s">
        <v>1909</v>
      </c>
      <c r="F69" s="30">
        <f>14* 148610</f>
        <v>2080540</v>
      </c>
      <c r="G69" s="718" t="s">
        <v>23</v>
      </c>
      <c r="H69" s="718" t="s">
        <v>41</v>
      </c>
      <c r="I69" s="718">
        <v>1399</v>
      </c>
      <c r="J69" s="718" t="s">
        <v>25</v>
      </c>
      <c r="K69" s="275">
        <v>1</v>
      </c>
      <c r="L69" s="30"/>
      <c r="M69" s="737" t="s">
        <v>33</v>
      </c>
      <c r="N69" s="30"/>
      <c r="O69" s="115"/>
      <c r="P69" s="440"/>
    </row>
    <row r="70" spans="1:21" s="34" customFormat="1" ht="85.9" customHeight="1">
      <c r="A70" s="82">
        <v>64</v>
      </c>
      <c r="B70" s="354" t="s">
        <v>75</v>
      </c>
      <c r="C70" s="354"/>
      <c r="D70" s="705" t="s">
        <v>40</v>
      </c>
      <c r="E70" s="349" t="s">
        <v>1908</v>
      </c>
      <c r="F70" s="30">
        <f>(10010000/1000000)*250000</f>
        <v>2502500</v>
      </c>
      <c r="G70" s="718" t="s">
        <v>23</v>
      </c>
      <c r="H70" s="718" t="s">
        <v>41</v>
      </c>
      <c r="I70" s="718">
        <v>1399</v>
      </c>
      <c r="J70" s="718" t="s">
        <v>25</v>
      </c>
      <c r="K70" s="275">
        <v>1</v>
      </c>
      <c r="L70" s="30" t="s">
        <v>947</v>
      </c>
      <c r="M70" s="737" t="s">
        <v>33</v>
      </c>
      <c r="N70" s="22" t="s">
        <v>325</v>
      </c>
      <c r="O70" s="22" t="s">
        <v>970</v>
      </c>
      <c r="P70" s="440"/>
    </row>
    <row r="71" spans="1:21" s="34" customFormat="1" ht="72">
      <c r="A71" s="82">
        <v>65</v>
      </c>
      <c r="B71" s="354" t="s">
        <v>75</v>
      </c>
      <c r="C71" s="354"/>
      <c r="D71" s="705" t="s">
        <v>40</v>
      </c>
      <c r="E71" s="349" t="s">
        <v>1907</v>
      </c>
      <c r="F71" s="30">
        <f>28* 30000</f>
        <v>840000</v>
      </c>
      <c r="G71" s="718" t="s">
        <v>23</v>
      </c>
      <c r="H71" s="718" t="s">
        <v>41</v>
      </c>
      <c r="I71" s="718">
        <v>1399</v>
      </c>
      <c r="J71" s="718" t="s">
        <v>25</v>
      </c>
      <c r="K71" s="275">
        <v>1</v>
      </c>
      <c r="L71" s="30"/>
      <c r="M71" s="737" t="s">
        <v>33</v>
      </c>
      <c r="N71" s="30"/>
      <c r="O71" s="440"/>
      <c r="P71" s="440"/>
    </row>
    <row r="72" spans="1:21" s="34" customFormat="1" ht="90">
      <c r="A72" s="82">
        <v>66</v>
      </c>
      <c r="B72" s="354" t="s">
        <v>75</v>
      </c>
      <c r="C72" s="354"/>
      <c r="D72" s="705" t="s">
        <v>40</v>
      </c>
      <c r="E72" s="349" t="s">
        <v>1906</v>
      </c>
      <c r="F72" s="30">
        <f>1820* 900</f>
        <v>1638000</v>
      </c>
      <c r="G72" s="718" t="s">
        <v>23</v>
      </c>
      <c r="H72" s="718" t="s">
        <v>41</v>
      </c>
      <c r="I72" s="718">
        <v>1399</v>
      </c>
      <c r="J72" s="718" t="s">
        <v>25</v>
      </c>
      <c r="K72" s="275">
        <v>1</v>
      </c>
      <c r="L72" s="30" t="s">
        <v>947</v>
      </c>
      <c r="M72" s="737" t="s">
        <v>33</v>
      </c>
      <c r="N72" s="22" t="s">
        <v>325</v>
      </c>
      <c r="O72" s="22" t="s">
        <v>970</v>
      </c>
      <c r="P72" s="440"/>
    </row>
    <row r="73" spans="1:21" s="34" customFormat="1" ht="296.45" customHeight="1">
      <c r="A73" s="82">
        <v>67</v>
      </c>
      <c r="B73" s="354" t="s">
        <v>75</v>
      </c>
      <c r="C73" s="354" t="s">
        <v>1901</v>
      </c>
      <c r="D73" s="705" t="s">
        <v>55</v>
      </c>
      <c r="E73" s="40" t="s">
        <v>1905</v>
      </c>
      <c r="F73" s="30">
        <v>1998750</v>
      </c>
      <c r="G73" s="718" t="s">
        <v>23</v>
      </c>
      <c r="H73" s="718" t="s">
        <v>77</v>
      </c>
      <c r="I73" s="718">
        <v>1399</v>
      </c>
      <c r="J73" s="718" t="s">
        <v>25</v>
      </c>
      <c r="K73" s="275">
        <v>1</v>
      </c>
      <c r="L73" s="30"/>
      <c r="M73" s="737" t="s">
        <v>33</v>
      </c>
      <c r="N73" s="30"/>
      <c r="O73" s="440"/>
      <c r="P73" s="440"/>
    </row>
    <row r="74" spans="1:21" ht="90">
      <c r="A74" s="82">
        <v>68</v>
      </c>
      <c r="B74" s="354" t="s">
        <v>75</v>
      </c>
      <c r="C74" s="354"/>
      <c r="D74" s="705" t="s">
        <v>76</v>
      </c>
      <c r="E74" s="40" t="s">
        <v>1904</v>
      </c>
      <c r="F74" s="116">
        <v>290599563</v>
      </c>
      <c r="G74" s="718" t="s">
        <v>23</v>
      </c>
      <c r="H74" s="718" t="s">
        <v>77</v>
      </c>
      <c r="I74" s="718">
        <v>1399</v>
      </c>
      <c r="J74" s="718" t="s">
        <v>25</v>
      </c>
      <c r="K74" s="60">
        <v>1</v>
      </c>
      <c r="L74" s="718"/>
      <c r="M74" s="737" t="s">
        <v>33</v>
      </c>
      <c r="N74" s="718"/>
      <c r="O74" s="718"/>
      <c r="P74" s="718"/>
    </row>
    <row r="75" spans="1:21" s="34" customFormat="1" ht="36">
      <c r="A75" s="82">
        <v>69</v>
      </c>
      <c r="B75" s="354" t="s">
        <v>75</v>
      </c>
      <c r="C75" s="354" t="s">
        <v>1009</v>
      </c>
      <c r="D75" s="705" t="s">
        <v>111</v>
      </c>
      <c r="E75" s="40" t="s">
        <v>187</v>
      </c>
      <c r="F75" s="30">
        <v>320000</v>
      </c>
      <c r="G75" s="718" t="s">
        <v>23</v>
      </c>
      <c r="H75" s="718" t="s">
        <v>77</v>
      </c>
      <c r="I75" s="718">
        <v>1399</v>
      </c>
      <c r="J75" s="718" t="s">
        <v>25</v>
      </c>
      <c r="K75" s="106">
        <v>1</v>
      </c>
      <c r="L75" s="440"/>
      <c r="M75" s="737" t="s">
        <v>33</v>
      </c>
      <c r="N75" s="440"/>
      <c r="O75" s="440"/>
      <c r="P75" s="440"/>
    </row>
    <row r="76" spans="1:21" s="34" customFormat="1" ht="90">
      <c r="A76" s="82">
        <v>70</v>
      </c>
      <c r="B76" s="354" t="s">
        <v>75</v>
      </c>
      <c r="C76" s="707" t="s">
        <v>1025</v>
      </c>
      <c r="D76" s="705" t="s">
        <v>111</v>
      </c>
      <c r="E76" s="40" t="s">
        <v>1903</v>
      </c>
      <c r="F76" s="30">
        <v>780000</v>
      </c>
      <c r="G76" s="718" t="s">
        <v>23</v>
      </c>
      <c r="H76" s="718" t="s">
        <v>77</v>
      </c>
      <c r="I76" s="718">
        <v>1399</v>
      </c>
      <c r="J76" s="718" t="s">
        <v>25</v>
      </c>
      <c r="K76" s="109">
        <v>1</v>
      </c>
      <c r="L76" s="478"/>
      <c r="M76" s="737" t="s">
        <v>33</v>
      </c>
      <c r="N76" s="478"/>
      <c r="O76" s="478"/>
      <c r="P76" s="440"/>
    </row>
    <row r="77" spans="1:21" s="34" customFormat="1" ht="64.5" customHeight="1">
      <c r="A77" s="82">
        <v>71</v>
      </c>
      <c r="B77" s="354" t="s">
        <v>75</v>
      </c>
      <c r="C77" s="714" t="s">
        <v>1901</v>
      </c>
      <c r="D77" s="705" t="s">
        <v>57</v>
      </c>
      <c r="E77" s="40" t="s">
        <v>1902</v>
      </c>
      <c r="F77" s="30">
        <v>2544480</v>
      </c>
      <c r="G77" s="718" t="s">
        <v>23</v>
      </c>
      <c r="H77" s="714" t="s">
        <v>58</v>
      </c>
      <c r="I77" s="718">
        <v>1399</v>
      </c>
      <c r="J77" s="718" t="s">
        <v>25</v>
      </c>
      <c r="K77" s="109">
        <v>0</v>
      </c>
      <c r="L77" s="478"/>
      <c r="M77" s="40" t="s">
        <v>1026</v>
      </c>
      <c r="N77" s="478"/>
      <c r="O77" s="478"/>
      <c r="P77" s="440"/>
    </row>
    <row r="78" spans="1:21" s="34" customFormat="1" ht="57.75" customHeight="1">
      <c r="A78" s="82">
        <v>72</v>
      </c>
      <c r="B78" s="354" t="s">
        <v>75</v>
      </c>
      <c r="C78" s="714" t="s">
        <v>1901</v>
      </c>
      <c r="D78" s="705" t="s">
        <v>57</v>
      </c>
      <c r="E78" s="40" t="s">
        <v>1900</v>
      </c>
      <c r="F78" s="30">
        <v>3682800</v>
      </c>
      <c r="G78" s="718" t="s">
        <v>23</v>
      </c>
      <c r="H78" s="714" t="s">
        <v>58</v>
      </c>
      <c r="I78" s="718">
        <v>1399</v>
      </c>
      <c r="J78" s="718" t="s">
        <v>25</v>
      </c>
      <c r="K78" s="109">
        <v>0</v>
      </c>
      <c r="L78" s="478"/>
      <c r="M78" s="40" t="s">
        <v>1026</v>
      </c>
      <c r="N78" s="478"/>
      <c r="O78" s="478"/>
      <c r="P78" s="440"/>
    </row>
    <row r="79" spans="1:21" ht="70.5" customHeight="1">
      <c r="A79" s="82">
        <v>73</v>
      </c>
      <c r="B79" s="354" t="s">
        <v>75</v>
      </c>
      <c r="C79" s="807" t="s">
        <v>1899</v>
      </c>
      <c r="D79" s="705" t="s">
        <v>59</v>
      </c>
      <c r="E79" s="736" t="s">
        <v>1027</v>
      </c>
      <c r="F79" s="479">
        <v>1130801</v>
      </c>
      <c r="G79" s="718" t="s">
        <v>23</v>
      </c>
      <c r="H79" s="714" t="s">
        <v>58</v>
      </c>
      <c r="I79" s="718">
        <v>1399</v>
      </c>
      <c r="J79" s="718" t="s">
        <v>25</v>
      </c>
      <c r="K79" s="24">
        <v>1</v>
      </c>
      <c r="L79" s="478"/>
      <c r="M79" s="40" t="s">
        <v>71</v>
      </c>
      <c r="N79" s="478"/>
      <c r="O79" s="478"/>
      <c r="P79" s="440"/>
      <c r="Q79" s="49"/>
      <c r="R79" s="29"/>
      <c r="S79" s="29"/>
    </row>
    <row r="80" spans="1:21" ht="36.75" customHeight="1">
      <c r="A80" s="82">
        <v>74</v>
      </c>
      <c r="B80" s="354" t="s">
        <v>75</v>
      </c>
      <c r="C80" s="808"/>
      <c r="D80" s="705" t="s">
        <v>59</v>
      </c>
      <c r="E80" s="90" t="s">
        <v>61</v>
      </c>
      <c r="F80" s="479">
        <v>78027</v>
      </c>
      <c r="G80" s="718" t="s">
        <v>23</v>
      </c>
      <c r="H80" s="714" t="s">
        <v>58</v>
      </c>
      <c r="I80" s="718">
        <v>1399</v>
      </c>
      <c r="J80" s="718" t="s">
        <v>25</v>
      </c>
      <c r="K80" s="24">
        <v>1</v>
      </c>
      <c r="L80" s="478"/>
      <c r="M80" s="40" t="s">
        <v>329</v>
      </c>
      <c r="N80" s="478"/>
      <c r="O80" s="478"/>
      <c r="P80" s="440"/>
      <c r="Q80" s="50"/>
      <c r="R80" s="29"/>
      <c r="S80" s="29"/>
    </row>
    <row r="81" spans="1:19" ht="36.75" customHeight="1">
      <c r="A81" s="82">
        <v>75</v>
      </c>
      <c r="B81" s="354" t="s">
        <v>75</v>
      </c>
      <c r="C81" s="808"/>
      <c r="D81" s="705" t="s">
        <v>59</v>
      </c>
      <c r="E81" s="40" t="s">
        <v>1028</v>
      </c>
      <c r="F81" s="479">
        <v>1986559</v>
      </c>
      <c r="G81" s="718" t="s">
        <v>23</v>
      </c>
      <c r="H81" s="714" t="s">
        <v>58</v>
      </c>
      <c r="I81" s="718">
        <v>1399</v>
      </c>
      <c r="J81" s="718" t="s">
        <v>25</v>
      </c>
      <c r="K81" s="24">
        <v>1</v>
      </c>
      <c r="L81" s="478"/>
      <c r="M81" s="40" t="s">
        <v>329</v>
      </c>
      <c r="N81" s="478"/>
      <c r="O81" s="478"/>
      <c r="P81" s="440"/>
      <c r="Q81" s="51"/>
      <c r="R81" s="29"/>
      <c r="S81" s="29"/>
    </row>
    <row r="82" spans="1:19" ht="36.75" customHeight="1">
      <c r="A82" s="82">
        <v>76</v>
      </c>
      <c r="B82" s="354" t="s">
        <v>75</v>
      </c>
      <c r="C82" s="808"/>
      <c r="D82" s="705" t="s">
        <v>59</v>
      </c>
      <c r="E82" s="40" t="s">
        <v>1029</v>
      </c>
      <c r="F82" s="479">
        <v>757950</v>
      </c>
      <c r="G82" s="718" t="s">
        <v>23</v>
      </c>
      <c r="H82" s="714" t="s">
        <v>58</v>
      </c>
      <c r="I82" s="718">
        <v>1399</v>
      </c>
      <c r="J82" s="718" t="s">
        <v>25</v>
      </c>
      <c r="K82" s="24">
        <v>1</v>
      </c>
      <c r="L82" s="478"/>
      <c r="M82" s="40" t="s">
        <v>329</v>
      </c>
      <c r="N82" s="478"/>
      <c r="O82" s="478"/>
      <c r="P82" s="440"/>
      <c r="Q82" s="51"/>
      <c r="R82" s="29"/>
      <c r="S82" s="29"/>
    </row>
    <row r="83" spans="1:19" ht="36.75" customHeight="1">
      <c r="A83" s="82">
        <v>77</v>
      </c>
      <c r="B83" s="354" t="s">
        <v>75</v>
      </c>
      <c r="C83" s="808"/>
      <c r="D83" s="705" t="s">
        <v>59</v>
      </c>
      <c r="E83" s="40" t="s">
        <v>1030</v>
      </c>
      <c r="F83" s="479">
        <v>23100</v>
      </c>
      <c r="G83" s="718" t="s">
        <v>23</v>
      </c>
      <c r="H83" s="714" t="s">
        <v>58</v>
      </c>
      <c r="I83" s="718">
        <v>1399</v>
      </c>
      <c r="J83" s="718" t="s">
        <v>25</v>
      </c>
      <c r="K83" s="24" t="s">
        <v>17</v>
      </c>
      <c r="L83" s="478" t="s">
        <v>35</v>
      </c>
      <c r="M83" s="40"/>
      <c r="N83" s="739" t="s">
        <v>1938</v>
      </c>
      <c r="O83" s="496" t="s">
        <v>1939</v>
      </c>
      <c r="P83" s="440"/>
      <c r="Q83" s="51"/>
      <c r="R83" s="29"/>
      <c r="S83" s="29"/>
    </row>
    <row r="84" spans="1:19" ht="62.25" customHeight="1">
      <c r="A84" s="82">
        <v>78</v>
      </c>
      <c r="B84" s="354" t="s">
        <v>75</v>
      </c>
      <c r="C84" s="808"/>
      <c r="D84" s="705" t="s">
        <v>59</v>
      </c>
      <c r="E84" s="40" t="s">
        <v>1031</v>
      </c>
      <c r="F84" s="479">
        <v>4683239</v>
      </c>
      <c r="G84" s="718" t="s">
        <v>23</v>
      </c>
      <c r="H84" s="714" t="s">
        <v>58</v>
      </c>
      <c r="I84" s="718">
        <v>1399</v>
      </c>
      <c r="J84" s="718" t="s">
        <v>25</v>
      </c>
      <c r="K84" s="24">
        <v>1</v>
      </c>
      <c r="L84" s="478"/>
      <c r="M84" s="40" t="s">
        <v>370</v>
      </c>
      <c r="N84" s="478"/>
      <c r="O84" s="478"/>
      <c r="P84" s="440"/>
      <c r="Q84" s="51"/>
      <c r="R84" s="29"/>
      <c r="S84" s="29"/>
    </row>
    <row r="85" spans="1:19" ht="66" customHeight="1">
      <c r="A85" s="82">
        <v>79</v>
      </c>
      <c r="B85" s="354" t="s">
        <v>75</v>
      </c>
      <c r="C85" s="808"/>
      <c r="D85" s="705" t="s">
        <v>59</v>
      </c>
      <c r="E85" s="40" t="s">
        <v>1032</v>
      </c>
      <c r="F85" s="479">
        <v>3850000</v>
      </c>
      <c r="G85" s="718" t="s">
        <v>23</v>
      </c>
      <c r="H85" s="714" t="s">
        <v>58</v>
      </c>
      <c r="I85" s="718">
        <v>1399</v>
      </c>
      <c r="J85" s="718" t="s">
        <v>25</v>
      </c>
      <c r="K85" s="24" t="s">
        <v>17</v>
      </c>
      <c r="L85" s="440" t="s">
        <v>72</v>
      </c>
      <c r="M85" s="40"/>
      <c r="N85" s="718" t="s">
        <v>1940</v>
      </c>
      <c r="O85" s="784" t="s">
        <v>1836</v>
      </c>
      <c r="P85" s="440"/>
      <c r="Q85" s="51"/>
      <c r="R85" s="29"/>
      <c r="S85" s="29"/>
    </row>
    <row r="86" spans="1:19" ht="54">
      <c r="A86" s="82">
        <v>80</v>
      </c>
      <c r="B86" s="354" t="s">
        <v>75</v>
      </c>
      <c r="C86" s="808"/>
      <c r="D86" s="705" t="s">
        <v>59</v>
      </c>
      <c r="E86" s="40" t="s">
        <v>1033</v>
      </c>
      <c r="F86" s="479">
        <v>1560533</v>
      </c>
      <c r="G86" s="718" t="s">
        <v>23</v>
      </c>
      <c r="H86" s="714" t="s">
        <v>58</v>
      </c>
      <c r="I86" s="718">
        <v>1399</v>
      </c>
      <c r="J86" s="718" t="s">
        <v>25</v>
      </c>
      <c r="K86" s="24">
        <v>0.05</v>
      </c>
      <c r="L86" s="478"/>
      <c r="M86" s="440" t="s">
        <v>39</v>
      </c>
      <c r="N86" s="105"/>
      <c r="O86" s="478"/>
      <c r="P86" s="440"/>
      <c r="Q86" s="51"/>
      <c r="R86" s="29"/>
      <c r="S86" s="29"/>
    </row>
    <row r="87" spans="1:19" ht="54">
      <c r="A87" s="82">
        <v>81</v>
      </c>
      <c r="B87" s="354" t="s">
        <v>75</v>
      </c>
      <c r="C87" s="808"/>
      <c r="D87" s="705" t="s">
        <v>59</v>
      </c>
      <c r="E87" s="40" t="s">
        <v>1034</v>
      </c>
      <c r="F87" s="479">
        <v>6165667</v>
      </c>
      <c r="G87" s="718" t="s">
        <v>23</v>
      </c>
      <c r="H87" s="714" t="s">
        <v>58</v>
      </c>
      <c r="I87" s="718">
        <v>1399</v>
      </c>
      <c r="J87" s="718" t="s">
        <v>25</v>
      </c>
      <c r="K87" s="24">
        <v>1</v>
      </c>
      <c r="L87" s="478"/>
      <c r="M87" s="40" t="s">
        <v>71</v>
      </c>
      <c r="N87" s="478"/>
      <c r="O87" s="478"/>
      <c r="P87" s="440"/>
      <c r="Q87" s="51"/>
      <c r="R87" s="29"/>
      <c r="S87" s="29"/>
    </row>
    <row r="88" spans="1:19" ht="54">
      <c r="A88" s="82">
        <v>82</v>
      </c>
      <c r="B88" s="354" t="s">
        <v>75</v>
      </c>
      <c r="C88" s="808"/>
      <c r="D88" s="705" t="s">
        <v>59</v>
      </c>
      <c r="E88" s="40" t="s">
        <v>1898</v>
      </c>
      <c r="F88" s="479">
        <v>11088000</v>
      </c>
      <c r="G88" s="718" t="s">
        <v>23</v>
      </c>
      <c r="H88" s="714" t="s">
        <v>58</v>
      </c>
      <c r="I88" s="718">
        <v>1399</v>
      </c>
      <c r="J88" s="718" t="s">
        <v>25</v>
      </c>
      <c r="K88" s="24" t="s">
        <v>17</v>
      </c>
      <c r="L88" s="105" t="s">
        <v>35</v>
      </c>
      <c r="M88" s="40"/>
      <c r="N88" s="40" t="s">
        <v>1885</v>
      </c>
      <c r="O88" s="718" t="s">
        <v>1941</v>
      </c>
      <c r="P88" s="440"/>
      <c r="Q88" s="51"/>
      <c r="R88" s="29"/>
      <c r="S88" s="29"/>
    </row>
    <row r="89" spans="1:19" ht="54">
      <c r="A89" s="82">
        <v>83</v>
      </c>
      <c r="B89" s="354" t="s">
        <v>75</v>
      </c>
      <c r="C89" s="808"/>
      <c r="D89" s="705" t="s">
        <v>59</v>
      </c>
      <c r="E89" s="40" t="s">
        <v>1035</v>
      </c>
      <c r="F89" s="479">
        <v>1925000</v>
      </c>
      <c r="G89" s="718" t="s">
        <v>23</v>
      </c>
      <c r="H89" s="714" t="s">
        <v>58</v>
      </c>
      <c r="I89" s="718">
        <v>1399</v>
      </c>
      <c r="J89" s="718" t="s">
        <v>25</v>
      </c>
      <c r="K89" s="24">
        <v>1</v>
      </c>
      <c r="L89" s="478"/>
      <c r="M89" s="40" t="s">
        <v>71</v>
      </c>
      <c r="N89" s="478"/>
      <c r="O89" s="478"/>
      <c r="P89" s="440"/>
      <c r="Q89" s="51"/>
      <c r="R89" s="29"/>
      <c r="S89" s="29"/>
    </row>
    <row r="90" spans="1:19" ht="54">
      <c r="A90" s="82">
        <v>84</v>
      </c>
      <c r="B90" s="354" t="s">
        <v>75</v>
      </c>
      <c r="C90" s="808"/>
      <c r="D90" s="705" t="s">
        <v>59</v>
      </c>
      <c r="E90" s="40" t="s">
        <v>1036</v>
      </c>
      <c r="F90" s="479">
        <v>1155000</v>
      </c>
      <c r="G90" s="718" t="s">
        <v>23</v>
      </c>
      <c r="H90" s="714" t="s">
        <v>58</v>
      </c>
      <c r="I90" s="718">
        <v>1399</v>
      </c>
      <c r="J90" s="718" t="s">
        <v>25</v>
      </c>
      <c r="K90" s="24">
        <v>1</v>
      </c>
      <c r="L90" s="478"/>
      <c r="M90" s="40" t="s">
        <v>370</v>
      </c>
      <c r="N90" s="478"/>
      <c r="O90" s="478"/>
      <c r="P90" s="440"/>
      <c r="Q90" s="51"/>
      <c r="R90" s="29"/>
      <c r="S90" s="29"/>
    </row>
    <row r="91" spans="1:19" ht="54">
      <c r="A91" s="82">
        <v>85</v>
      </c>
      <c r="B91" s="354" t="s">
        <v>75</v>
      </c>
      <c r="C91" s="808"/>
      <c r="D91" s="705" t="s">
        <v>59</v>
      </c>
      <c r="E91" s="40" t="s">
        <v>1037</v>
      </c>
      <c r="F91" s="479">
        <v>641667</v>
      </c>
      <c r="G91" s="718" t="s">
        <v>23</v>
      </c>
      <c r="H91" s="714" t="s">
        <v>58</v>
      </c>
      <c r="I91" s="718">
        <v>1399</v>
      </c>
      <c r="J91" s="718" t="s">
        <v>25</v>
      </c>
      <c r="K91" s="24">
        <v>1</v>
      </c>
      <c r="L91" s="478"/>
      <c r="M91" s="40" t="s">
        <v>370</v>
      </c>
      <c r="N91" s="478"/>
      <c r="O91" s="478"/>
      <c r="P91" s="440"/>
      <c r="Q91" s="51"/>
      <c r="R91" s="29"/>
      <c r="S91" s="29"/>
    </row>
    <row r="92" spans="1:19" ht="54">
      <c r="A92" s="82">
        <v>86</v>
      </c>
      <c r="B92" s="354" t="s">
        <v>75</v>
      </c>
      <c r="C92" s="808"/>
      <c r="D92" s="705" t="s">
        <v>59</v>
      </c>
      <c r="E92" s="40" t="s">
        <v>1038</v>
      </c>
      <c r="F92" s="479">
        <v>308000</v>
      </c>
      <c r="G92" s="718" t="s">
        <v>23</v>
      </c>
      <c r="H92" s="718" t="s">
        <v>58</v>
      </c>
      <c r="I92" s="718">
        <v>1399</v>
      </c>
      <c r="J92" s="718" t="s">
        <v>25</v>
      </c>
      <c r="K92" s="24">
        <v>1</v>
      </c>
      <c r="L92" s="478"/>
      <c r="M92" s="40" t="s">
        <v>370</v>
      </c>
      <c r="N92" s="478"/>
      <c r="O92" s="478"/>
      <c r="P92" s="440"/>
      <c r="Q92" s="51"/>
      <c r="R92" s="29"/>
      <c r="S92" s="29"/>
    </row>
    <row r="93" spans="1:19" ht="54">
      <c r="A93" s="82">
        <v>87</v>
      </c>
      <c r="B93" s="354" t="s">
        <v>75</v>
      </c>
      <c r="C93" s="808"/>
      <c r="D93" s="705" t="s">
        <v>59</v>
      </c>
      <c r="E93" s="40" t="s">
        <v>1039</v>
      </c>
      <c r="F93" s="479">
        <v>410749</v>
      </c>
      <c r="G93" s="718" t="s">
        <v>23</v>
      </c>
      <c r="H93" s="714" t="s">
        <v>58</v>
      </c>
      <c r="I93" s="718">
        <v>1399</v>
      </c>
      <c r="J93" s="718" t="s">
        <v>25</v>
      </c>
      <c r="K93" s="24">
        <v>1</v>
      </c>
      <c r="L93" s="478"/>
      <c r="M93" s="40" t="s">
        <v>1895</v>
      </c>
      <c r="N93" s="478"/>
      <c r="O93" s="478"/>
      <c r="P93" s="440"/>
      <c r="Q93" s="51"/>
      <c r="R93" s="29"/>
      <c r="S93" s="29"/>
    </row>
    <row r="94" spans="1:19" ht="54">
      <c r="A94" s="82">
        <v>88</v>
      </c>
      <c r="B94" s="354" t="s">
        <v>75</v>
      </c>
      <c r="C94" s="808"/>
      <c r="D94" s="705" t="s">
        <v>59</v>
      </c>
      <c r="E94" s="40" t="s">
        <v>1040</v>
      </c>
      <c r="F94" s="479">
        <v>102656</v>
      </c>
      <c r="G94" s="718" t="s">
        <v>23</v>
      </c>
      <c r="H94" s="714" t="s">
        <v>58</v>
      </c>
      <c r="I94" s="718">
        <v>1399</v>
      </c>
      <c r="J94" s="718" t="s">
        <v>25</v>
      </c>
      <c r="K94" s="24">
        <v>1</v>
      </c>
      <c r="L94" s="478"/>
      <c r="M94" s="40" t="s">
        <v>1895</v>
      </c>
      <c r="N94" s="478"/>
      <c r="O94" s="478"/>
      <c r="P94" s="440"/>
      <c r="Q94" s="51"/>
      <c r="R94" s="29"/>
      <c r="S94" s="29"/>
    </row>
    <row r="95" spans="1:19" ht="54">
      <c r="A95" s="82">
        <v>89</v>
      </c>
      <c r="B95" s="354" t="s">
        <v>75</v>
      </c>
      <c r="C95" s="808"/>
      <c r="D95" s="705" t="s">
        <v>59</v>
      </c>
      <c r="E95" s="40" t="s">
        <v>1041</v>
      </c>
      <c r="F95" s="479">
        <v>1024100</v>
      </c>
      <c r="G95" s="718" t="s">
        <v>23</v>
      </c>
      <c r="H95" s="714" t="s">
        <v>58</v>
      </c>
      <c r="I95" s="718">
        <v>1399</v>
      </c>
      <c r="J95" s="718" t="s">
        <v>25</v>
      </c>
      <c r="K95" s="24">
        <v>1</v>
      </c>
      <c r="L95" s="478"/>
      <c r="M95" s="40" t="s">
        <v>1895</v>
      </c>
      <c r="N95" s="478"/>
      <c r="O95" s="478"/>
      <c r="P95" s="440"/>
      <c r="Q95" s="51"/>
      <c r="R95" s="29"/>
      <c r="S95" s="29"/>
    </row>
    <row r="96" spans="1:19" ht="54">
      <c r="A96" s="82">
        <v>90</v>
      </c>
      <c r="B96" s="354" t="s">
        <v>75</v>
      </c>
      <c r="C96" s="808"/>
      <c r="D96" s="705" t="s">
        <v>59</v>
      </c>
      <c r="E96" s="40" t="s">
        <v>1897</v>
      </c>
      <c r="F96" s="479">
        <v>820820</v>
      </c>
      <c r="G96" s="718" t="s">
        <v>23</v>
      </c>
      <c r="H96" s="714" t="s">
        <v>58</v>
      </c>
      <c r="I96" s="718">
        <v>1399</v>
      </c>
      <c r="J96" s="718" t="s">
        <v>25</v>
      </c>
      <c r="K96" s="24">
        <v>1</v>
      </c>
      <c r="L96" s="478"/>
      <c r="M96" s="40" t="s">
        <v>1895</v>
      </c>
      <c r="N96" s="40" t="s">
        <v>17</v>
      </c>
      <c r="O96" s="478"/>
      <c r="P96" s="440"/>
      <c r="Q96" s="51"/>
      <c r="R96" s="29"/>
      <c r="S96" s="29"/>
    </row>
    <row r="97" spans="1:19" ht="54">
      <c r="A97" s="82">
        <v>91</v>
      </c>
      <c r="B97" s="354" t="s">
        <v>75</v>
      </c>
      <c r="C97" s="808"/>
      <c r="D97" s="705" t="s">
        <v>59</v>
      </c>
      <c r="E97" s="40" t="s">
        <v>1896</v>
      </c>
      <c r="F97" s="479">
        <v>1381669</v>
      </c>
      <c r="G97" s="718" t="s">
        <v>23</v>
      </c>
      <c r="H97" s="714" t="s">
        <v>58</v>
      </c>
      <c r="I97" s="718">
        <v>1399</v>
      </c>
      <c r="J97" s="718" t="s">
        <v>25</v>
      </c>
      <c r="K97" s="24">
        <v>1</v>
      </c>
      <c r="L97" s="478"/>
      <c r="M97" s="40" t="s">
        <v>1895</v>
      </c>
      <c r="N97" s="478"/>
      <c r="O97" s="478"/>
      <c r="P97" s="440"/>
      <c r="Q97" s="51"/>
      <c r="R97" s="29"/>
      <c r="S97" s="29"/>
    </row>
    <row r="98" spans="1:19" ht="54">
      <c r="A98" s="82">
        <v>92</v>
      </c>
      <c r="B98" s="354" t="s">
        <v>75</v>
      </c>
      <c r="C98" s="808"/>
      <c r="D98" s="705" t="s">
        <v>59</v>
      </c>
      <c r="E98" s="40" t="s">
        <v>1042</v>
      </c>
      <c r="F98" s="479">
        <v>1327586</v>
      </c>
      <c r="G98" s="718" t="s">
        <v>23</v>
      </c>
      <c r="H98" s="714" t="s">
        <v>58</v>
      </c>
      <c r="I98" s="718">
        <v>1399</v>
      </c>
      <c r="J98" s="718" t="s">
        <v>25</v>
      </c>
      <c r="K98" s="24">
        <v>1</v>
      </c>
      <c r="L98" s="478"/>
      <c r="M98" s="40" t="s">
        <v>71</v>
      </c>
      <c r="N98" s="40" t="s">
        <v>17</v>
      </c>
      <c r="O98" s="478"/>
      <c r="P98" s="440"/>
      <c r="Q98" s="51"/>
      <c r="R98" s="29"/>
      <c r="S98" s="29"/>
    </row>
    <row r="99" spans="1:19" ht="54">
      <c r="A99" s="82">
        <v>93</v>
      </c>
      <c r="B99" s="354" t="s">
        <v>75</v>
      </c>
      <c r="C99" s="808"/>
      <c r="D99" s="705" t="s">
        <v>59</v>
      </c>
      <c r="E99" s="40" t="s">
        <v>63</v>
      </c>
      <c r="F99" s="479">
        <v>1540000</v>
      </c>
      <c r="G99" s="718" t="s">
        <v>23</v>
      </c>
      <c r="H99" s="714" t="s">
        <v>58</v>
      </c>
      <c r="I99" s="718">
        <v>1399</v>
      </c>
      <c r="J99" s="718" t="s">
        <v>25</v>
      </c>
      <c r="K99" s="24">
        <v>0.05</v>
      </c>
      <c r="L99" s="478"/>
      <c r="M99" s="40" t="s">
        <v>39</v>
      </c>
      <c r="N99" s="478"/>
      <c r="O99" s="478"/>
      <c r="P99" s="440"/>
      <c r="Q99" s="51"/>
      <c r="R99" s="29"/>
      <c r="S99" s="29"/>
    </row>
    <row r="100" spans="1:19" ht="54">
      <c r="A100" s="82">
        <v>94</v>
      </c>
      <c r="B100" s="354" t="s">
        <v>75</v>
      </c>
      <c r="C100" s="808"/>
      <c r="D100" s="705" t="s">
        <v>59</v>
      </c>
      <c r="E100" s="40" t="s">
        <v>1043</v>
      </c>
      <c r="F100" s="479">
        <v>39655000</v>
      </c>
      <c r="G100" s="718" t="s">
        <v>23</v>
      </c>
      <c r="H100" s="714" t="s">
        <v>58</v>
      </c>
      <c r="I100" s="718">
        <v>1399</v>
      </c>
      <c r="J100" s="718" t="s">
        <v>25</v>
      </c>
      <c r="K100" s="24">
        <v>0.05</v>
      </c>
      <c r="L100" s="478"/>
      <c r="M100" s="40" t="s">
        <v>39</v>
      </c>
      <c r="N100" s="478"/>
      <c r="O100" s="478"/>
      <c r="P100" s="440"/>
      <c r="Q100" s="51"/>
      <c r="R100" s="29"/>
      <c r="S100" s="29"/>
    </row>
    <row r="101" spans="1:19" ht="54">
      <c r="A101" s="82">
        <v>95</v>
      </c>
      <c r="B101" s="354" t="s">
        <v>75</v>
      </c>
      <c r="C101" s="808"/>
      <c r="D101" s="705" t="s">
        <v>59</v>
      </c>
      <c r="E101" s="40" t="s">
        <v>1894</v>
      </c>
      <c r="F101" s="479">
        <v>274715704</v>
      </c>
      <c r="G101" s="718" t="s">
        <v>23</v>
      </c>
      <c r="H101" s="714" t="s">
        <v>58</v>
      </c>
      <c r="I101" s="718">
        <v>1399</v>
      </c>
      <c r="J101" s="718" t="s">
        <v>25</v>
      </c>
      <c r="K101" s="24">
        <v>1</v>
      </c>
      <c r="L101" s="478"/>
      <c r="M101" s="40" t="s">
        <v>370</v>
      </c>
      <c r="N101" s="478"/>
      <c r="O101" s="478"/>
      <c r="P101" s="40" t="s">
        <v>17</v>
      </c>
      <c r="Q101" s="51"/>
      <c r="R101" s="29"/>
      <c r="S101" s="29"/>
    </row>
    <row r="102" spans="1:19" ht="54">
      <c r="A102" s="82">
        <v>96</v>
      </c>
      <c r="B102" s="354" t="s">
        <v>75</v>
      </c>
      <c r="C102" s="808"/>
      <c r="D102" s="705" t="s">
        <v>59</v>
      </c>
      <c r="E102" s="40" t="s">
        <v>1044</v>
      </c>
      <c r="F102" s="479">
        <v>1232000</v>
      </c>
      <c r="G102" s="718" t="s">
        <v>23</v>
      </c>
      <c r="H102" s="714" t="s">
        <v>58</v>
      </c>
      <c r="I102" s="718">
        <v>1399</v>
      </c>
      <c r="J102" s="718" t="s">
        <v>25</v>
      </c>
      <c r="K102" s="24">
        <v>0.2</v>
      </c>
      <c r="L102" s="478"/>
      <c r="M102" s="40" t="s">
        <v>39</v>
      </c>
      <c r="N102" s="478"/>
      <c r="O102" s="478"/>
      <c r="P102" s="440"/>
      <c r="Q102" s="51"/>
      <c r="R102" s="29"/>
      <c r="S102" s="29"/>
    </row>
    <row r="103" spans="1:19" ht="54">
      <c r="A103" s="82">
        <v>97</v>
      </c>
      <c r="B103" s="354" t="s">
        <v>75</v>
      </c>
      <c r="C103" s="808"/>
      <c r="D103" s="705" t="s">
        <v>59</v>
      </c>
      <c r="E103" s="40" t="s">
        <v>1045</v>
      </c>
      <c r="F103" s="479">
        <v>640640</v>
      </c>
      <c r="G103" s="718" t="s">
        <v>23</v>
      </c>
      <c r="H103" s="714" t="s">
        <v>58</v>
      </c>
      <c r="I103" s="718">
        <v>1399</v>
      </c>
      <c r="J103" s="718" t="s">
        <v>25</v>
      </c>
      <c r="K103" s="24" t="s">
        <v>17</v>
      </c>
      <c r="L103" s="478" t="s">
        <v>35</v>
      </c>
      <c r="M103" s="142"/>
      <c r="N103" s="440" t="s">
        <v>1942</v>
      </c>
      <c r="O103" s="718" t="s">
        <v>1943</v>
      </c>
      <c r="P103" s="440"/>
      <c r="Q103" s="51"/>
      <c r="R103" s="29"/>
      <c r="S103" s="29"/>
    </row>
    <row r="104" spans="1:19" ht="54">
      <c r="A104" s="82">
        <v>98</v>
      </c>
      <c r="B104" s="354" t="s">
        <v>75</v>
      </c>
      <c r="C104" s="808"/>
      <c r="D104" s="705" t="s">
        <v>59</v>
      </c>
      <c r="E104" s="40" t="s">
        <v>64</v>
      </c>
      <c r="F104" s="479">
        <v>2640000</v>
      </c>
      <c r="G104" s="718" t="s">
        <v>23</v>
      </c>
      <c r="H104" s="714" t="s">
        <v>58</v>
      </c>
      <c r="I104" s="718">
        <v>1399</v>
      </c>
      <c r="J104" s="718" t="s">
        <v>25</v>
      </c>
      <c r="K104" s="24">
        <v>1</v>
      </c>
      <c r="L104" s="478"/>
      <c r="M104" s="40" t="s">
        <v>71</v>
      </c>
      <c r="N104" s="478"/>
      <c r="O104" s="478"/>
      <c r="P104" s="440"/>
      <c r="Q104" s="51"/>
      <c r="R104" s="29"/>
      <c r="S104" s="29"/>
    </row>
    <row r="105" spans="1:19" ht="54">
      <c r="A105" s="82">
        <v>99</v>
      </c>
      <c r="B105" s="354" t="s">
        <v>75</v>
      </c>
      <c r="C105" s="808"/>
      <c r="D105" s="705" t="s">
        <v>59</v>
      </c>
      <c r="E105" s="40" t="s">
        <v>65</v>
      </c>
      <c r="F105" s="479">
        <v>7150000</v>
      </c>
      <c r="G105" s="718" t="s">
        <v>23</v>
      </c>
      <c r="H105" s="714" t="s">
        <v>58</v>
      </c>
      <c r="I105" s="718">
        <v>1399</v>
      </c>
      <c r="J105" s="718" t="s">
        <v>25</v>
      </c>
      <c r="K105" s="24">
        <v>1</v>
      </c>
      <c r="L105" s="478"/>
      <c r="M105" s="40" t="s">
        <v>71</v>
      </c>
      <c r="N105" s="478"/>
      <c r="O105" s="478"/>
      <c r="P105" s="440"/>
      <c r="Q105" s="51"/>
      <c r="R105" s="29"/>
      <c r="S105" s="29"/>
    </row>
    <row r="106" spans="1:19" ht="54">
      <c r="A106" s="82">
        <v>100</v>
      </c>
      <c r="B106" s="354" t="s">
        <v>75</v>
      </c>
      <c r="C106" s="809"/>
      <c r="D106" s="705" t="s">
        <v>59</v>
      </c>
      <c r="E106" s="40" t="s">
        <v>66</v>
      </c>
      <c r="F106" s="479">
        <v>1348270</v>
      </c>
      <c r="G106" s="718" t="s">
        <v>23</v>
      </c>
      <c r="H106" s="714" t="s">
        <v>58</v>
      </c>
      <c r="I106" s="718">
        <v>1399</v>
      </c>
      <c r="J106" s="718" t="s">
        <v>25</v>
      </c>
      <c r="K106" s="24">
        <v>1</v>
      </c>
      <c r="L106" s="478"/>
      <c r="M106" s="40" t="s">
        <v>71</v>
      </c>
      <c r="N106" s="478"/>
      <c r="O106" s="478"/>
      <c r="P106" s="440"/>
      <c r="Q106" s="51"/>
      <c r="R106" s="29"/>
      <c r="S106" s="29"/>
    </row>
    <row r="107" spans="1:19" s="733" customFormat="1" ht="105" customHeight="1">
      <c r="A107" s="82">
        <v>101</v>
      </c>
      <c r="B107" s="354" t="s">
        <v>75</v>
      </c>
      <c r="C107" s="354"/>
      <c r="D107" s="705" t="s">
        <v>67</v>
      </c>
      <c r="E107" s="40" t="s">
        <v>1893</v>
      </c>
      <c r="F107" s="735">
        <v>6000000</v>
      </c>
      <c r="G107" s="718" t="s">
        <v>141</v>
      </c>
      <c r="H107" s="718" t="s">
        <v>77</v>
      </c>
      <c r="I107" s="718">
        <v>1401</v>
      </c>
      <c r="J107" s="718" t="s">
        <v>68</v>
      </c>
      <c r="K107" s="109" t="s">
        <v>17</v>
      </c>
      <c r="L107" s="478" t="s">
        <v>3</v>
      </c>
      <c r="M107" s="40"/>
      <c r="N107" s="734" t="s">
        <v>1046</v>
      </c>
      <c r="O107" s="732" t="s">
        <v>1892</v>
      </c>
      <c r="P107" s="440"/>
    </row>
    <row r="108" spans="1:19" ht="61.5" customHeight="1">
      <c r="A108" s="82">
        <v>102</v>
      </c>
      <c r="B108" s="354" t="s">
        <v>75</v>
      </c>
      <c r="C108" s="354"/>
      <c r="D108" s="713" t="s">
        <v>73</v>
      </c>
      <c r="E108" s="237" t="s">
        <v>74</v>
      </c>
      <c r="F108" s="30">
        <v>2399122.977</v>
      </c>
      <c r="G108" s="718" t="s">
        <v>23</v>
      </c>
      <c r="H108" s="718" t="s">
        <v>77</v>
      </c>
      <c r="I108" s="718">
        <v>1399</v>
      </c>
      <c r="J108" s="718" t="s">
        <v>25</v>
      </c>
      <c r="K108" s="265" t="s">
        <v>17</v>
      </c>
      <c r="L108" s="718" t="s">
        <v>72</v>
      </c>
      <c r="M108" s="40"/>
      <c r="N108" s="715" t="s">
        <v>581</v>
      </c>
      <c r="O108" s="732" t="s">
        <v>1891</v>
      </c>
      <c r="P108" s="713"/>
    </row>
  </sheetData>
  <autoFilter ref="D1:D74"/>
  <mergeCells count="15">
    <mergeCell ref="C79:C106"/>
    <mergeCell ref="A1:P4"/>
    <mergeCell ref="P5:P6"/>
    <mergeCell ref="A5:A6"/>
    <mergeCell ref="B5:B6"/>
    <mergeCell ref="C5:C6"/>
    <mergeCell ref="D5:D6"/>
    <mergeCell ref="E5:E6"/>
    <mergeCell ref="F5:H5"/>
    <mergeCell ref="I5:I6"/>
    <mergeCell ref="J5:J6"/>
    <mergeCell ref="K5:K6"/>
    <mergeCell ref="L5:M5"/>
    <mergeCell ref="N5:N6"/>
    <mergeCell ref="O5:O6"/>
  </mergeCells>
  <printOptions horizontalCentered="1"/>
  <pageMargins left="0.2" right="0.2" top="0.5" bottom="0.5" header="0.3" footer="0.3"/>
  <pageSetup paperSize="9" scale="58" orientation="landscape" r:id="rId1"/>
  <headerFooter>
    <oddFooter>&amp;C&amp;P</oddFooter>
  </headerFooter>
</worksheet>
</file>

<file path=xl/worksheets/sheet30.xml><?xml version="1.0" encoding="utf-8"?>
<worksheet xmlns="http://schemas.openxmlformats.org/spreadsheetml/2006/main" xmlns:r="http://schemas.openxmlformats.org/officeDocument/2006/relationships">
  <sheetPr>
    <tabColor rgb="FF92D050"/>
  </sheetPr>
  <dimension ref="A1:S82"/>
  <sheetViews>
    <sheetView rightToLeft="1" view="pageBreakPreview" zoomScale="78" zoomScaleSheetLayoutView="78" workbookViewId="0">
      <pane ySplit="6" topLeftCell="A75" activePane="bottomLeft" state="frozen"/>
      <selection pane="bottomLeft" activeCell="K78" sqref="K78"/>
    </sheetView>
  </sheetViews>
  <sheetFormatPr defaultColWidth="9.140625" defaultRowHeight="15"/>
  <cols>
    <col min="1" max="1" width="6" style="1" customWidth="1"/>
    <col min="2" max="2" width="13.42578125" style="10" customWidth="1"/>
    <col min="3" max="3" width="7.5703125" style="10" customWidth="1"/>
    <col min="4" max="4" width="14.85546875" style="10" customWidth="1"/>
    <col min="5" max="5" width="30.7109375" style="10" customWidth="1"/>
    <col min="6" max="6" width="17.5703125" style="2" customWidth="1"/>
    <col min="7" max="7" width="10.140625" style="2" customWidth="1"/>
    <col min="8" max="8" width="12.85546875" style="2" customWidth="1"/>
    <col min="9" max="9" width="13.85546875" style="1" customWidth="1"/>
    <col min="10" max="10" width="11.140625" style="1" customWidth="1"/>
    <col min="11" max="11" width="13.5703125" style="1" customWidth="1"/>
    <col min="12" max="12" width="10.42578125" style="9" customWidth="1"/>
    <col min="13" max="13" width="13.28515625" style="9" customWidth="1"/>
    <col min="14" max="14" width="23.85546875" style="9" customWidth="1"/>
    <col min="15" max="15" width="16.5703125" style="9" customWidth="1"/>
    <col min="16" max="16" width="15.7109375" style="145" customWidth="1"/>
    <col min="17" max="16384" width="9.140625" style="145"/>
  </cols>
  <sheetData>
    <row r="1" spans="1:16">
      <c r="A1" s="788" t="s">
        <v>1977</v>
      </c>
      <c r="B1" s="789"/>
      <c r="C1" s="789"/>
      <c r="D1" s="789"/>
      <c r="E1" s="789"/>
      <c r="F1" s="789"/>
      <c r="G1" s="789"/>
      <c r="H1" s="789"/>
      <c r="I1" s="789"/>
      <c r="J1" s="789"/>
      <c r="K1" s="789"/>
      <c r="L1" s="789"/>
      <c r="M1" s="789"/>
      <c r="N1" s="789"/>
      <c r="O1" s="789"/>
      <c r="P1" s="789"/>
    </row>
    <row r="2" spans="1:16">
      <c r="A2" s="789"/>
      <c r="B2" s="789"/>
      <c r="C2" s="789"/>
      <c r="D2" s="789"/>
      <c r="E2" s="789"/>
      <c r="F2" s="789"/>
      <c r="G2" s="789"/>
      <c r="H2" s="789"/>
      <c r="I2" s="789"/>
      <c r="J2" s="789"/>
      <c r="K2" s="789"/>
      <c r="L2" s="789"/>
      <c r="M2" s="789"/>
      <c r="N2" s="789"/>
      <c r="O2" s="789"/>
      <c r="P2" s="789"/>
    </row>
    <row r="3" spans="1:16">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28.15"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791" t="s">
        <v>8</v>
      </c>
    </row>
    <row r="6" spans="1:16" ht="37.15" customHeight="1">
      <c r="A6" s="791"/>
      <c r="B6" s="791"/>
      <c r="C6" s="791"/>
      <c r="D6" s="791"/>
      <c r="E6" s="791"/>
      <c r="F6" s="146" t="s">
        <v>10</v>
      </c>
      <c r="G6" s="146" t="s">
        <v>11</v>
      </c>
      <c r="H6" s="146" t="s">
        <v>12</v>
      </c>
      <c r="I6" s="791"/>
      <c r="J6" s="791"/>
      <c r="K6" s="791"/>
      <c r="L6" s="146" t="s">
        <v>3</v>
      </c>
      <c r="M6" s="146" t="s">
        <v>4</v>
      </c>
      <c r="N6" s="791"/>
      <c r="O6" s="791"/>
      <c r="P6" s="791"/>
    </row>
    <row r="7" spans="1:16" s="5" customFormat="1" ht="60" customHeight="1">
      <c r="A7" s="583">
        <v>1</v>
      </c>
      <c r="B7" s="6" t="s">
        <v>75</v>
      </c>
      <c r="C7" s="6" t="s">
        <v>1775</v>
      </c>
      <c r="D7" s="576" t="s">
        <v>320</v>
      </c>
      <c r="E7" s="576" t="s">
        <v>1776</v>
      </c>
      <c r="F7" s="220">
        <v>286667</v>
      </c>
      <c r="G7" s="354" t="s">
        <v>23</v>
      </c>
      <c r="H7" s="354" t="s">
        <v>77</v>
      </c>
      <c r="I7" s="354">
        <v>1399</v>
      </c>
      <c r="J7" s="354" t="s">
        <v>472</v>
      </c>
      <c r="K7" s="219">
        <v>1</v>
      </c>
      <c r="L7" s="232"/>
      <c r="M7" s="354" t="s">
        <v>33</v>
      </c>
      <c r="N7" s="232"/>
      <c r="O7" s="232"/>
      <c r="P7" s="179"/>
    </row>
    <row r="8" spans="1:16" s="26" customFormat="1" ht="59.25" customHeight="1">
      <c r="A8" s="19">
        <v>2</v>
      </c>
      <c r="B8" s="6" t="s">
        <v>75</v>
      </c>
      <c r="C8" s="6" t="s">
        <v>484</v>
      </c>
      <c r="D8" s="152" t="s">
        <v>21</v>
      </c>
      <c r="E8" s="152" t="s">
        <v>22</v>
      </c>
      <c r="F8" s="220">
        <v>640000</v>
      </c>
      <c r="G8" s="83" t="s">
        <v>23</v>
      </c>
      <c r="H8" s="83" t="s">
        <v>77</v>
      </c>
      <c r="I8" s="83">
        <v>1399</v>
      </c>
      <c r="J8" s="83" t="s">
        <v>472</v>
      </c>
      <c r="K8" s="219">
        <v>1</v>
      </c>
      <c r="L8" s="65"/>
      <c r="M8" s="354" t="s">
        <v>33</v>
      </c>
      <c r="N8" s="65"/>
      <c r="O8" s="232"/>
      <c r="P8" s="110"/>
    </row>
    <row r="9" spans="1:16" s="26" customFormat="1" ht="75" customHeight="1">
      <c r="A9" s="588">
        <v>3</v>
      </c>
      <c r="B9" s="6" t="s">
        <v>75</v>
      </c>
      <c r="C9" s="6"/>
      <c r="D9" s="152" t="s">
        <v>21</v>
      </c>
      <c r="E9" s="152" t="s">
        <v>206</v>
      </c>
      <c r="F9" s="220">
        <v>37000</v>
      </c>
      <c r="G9" s="83" t="s">
        <v>23</v>
      </c>
      <c r="H9" s="83" t="s">
        <v>77</v>
      </c>
      <c r="I9" s="83">
        <v>1399</v>
      </c>
      <c r="J9" s="83" t="s">
        <v>472</v>
      </c>
      <c r="K9" s="219">
        <v>1</v>
      </c>
      <c r="L9" s="65"/>
      <c r="M9" s="354" t="s">
        <v>33</v>
      </c>
      <c r="N9" s="65"/>
      <c r="O9" s="232"/>
      <c r="P9" s="110"/>
    </row>
    <row r="10" spans="1:16" s="26" customFormat="1" ht="50.25" customHeight="1">
      <c r="A10" s="659">
        <v>4</v>
      </c>
      <c r="B10" s="6" t="s">
        <v>75</v>
      </c>
      <c r="C10" s="6"/>
      <c r="D10" s="152" t="s">
        <v>28</v>
      </c>
      <c r="E10" s="164" t="s">
        <v>207</v>
      </c>
      <c r="F10" s="220">
        <v>8400000</v>
      </c>
      <c r="G10" s="83" t="s">
        <v>23</v>
      </c>
      <c r="H10" s="83" t="s">
        <v>77</v>
      </c>
      <c r="I10" s="83">
        <v>1399</v>
      </c>
      <c r="J10" s="83" t="s">
        <v>472</v>
      </c>
      <c r="K10" s="219">
        <v>1</v>
      </c>
      <c r="L10" s="82"/>
      <c r="M10" s="354" t="s">
        <v>33</v>
      </c>
      <c r="N10" s="82"/>
      <c r="O10" s="152"/>
      <c r="P10" s="110" t="s">
        <v>17</v>
      </c>
    </row>
    <row r="11" spans="1:16" s="26" customFormat="1" ht="112.5" customHeight="1">
      <c r="A11" s="659">
        <v>5</v>
      </c>
      <c r="B11" s="6" t="s">
        <v>75</v>
      </c>
      <c r="C11" s="6"/>
      <c r="D11" s="152" t="s">
        <v>28</v>
      </c>
      <c r="E11" s="152" t="s">
        <v>29</v>
      </c>
      <c r="F11" s="220">
        <v>135000</v>
      </c>
      <c r="G11" s="83" t="s">
        <v>23</v>
      </c>
      <c r="H11" s="83" t="s">
        <v>77</v>
      </c>
      <c r="I11" s="83">
        <v>1399</v>
      </c>
      <c r="J11" s="83" t="s">
        <v>472</v>
      </c>
      <c r="K11" s="219">
        <v>1</v>
      </c>
      <c r="L11" s="65"/>
      <c r="M11" s="354" t="s">
        <v>33</v>
      </c>
      <c r="N11" s="452"/>
      <c r="O11" s="334"/>
      <c r="P11" s="842"/>
    </row>
    <row r="12" spans="1:16" s="26" customFormat="1" ht="81" customHeight="1">
      <c r="A12" s="659">
        <v>6</v>
      </c>
      <c r="B12" s="6" t="s">
        <v>75</v>
      </c>
      <c r="C12" s="6"/>
      <c r="D12" s="152" t="s">
        <v>28</v>
      </c>
      <c r="E12" s="164" t="s">
        <v>99</v>
      </c>
      <c r="F12" s="220">
        <v>62250</v>
      </c>
      <c r="G12" s="83" t="s">
        <v>23</v>
      </c>
      <c r="H12" s="83" t="s">
        <v>77</v>
      </c>
      <c r="I12" s="83">
        <v>1399</v>
      </c>
      <c r="J12" s="83" t="s">
        <v>472</v>
      </c>
      <c r="K12" s="219"/>
      <c r="L12" s="82" t="s">
        <v>3</v>
      </c>
      <c r="M12" s="6"/>
      <c r="N12" s="6" t="s">
        <v>995</v>
      </c>
      <c r="O12" s="445" t="s">
        <v>996</v>
      </c>
      <c r="P12" s="842"/>
    </row>
    <row r="13" spans="1:16" s="26" customFormat="1" ht="77.25" customHeight="1">
      <c r="A13" s="659">
        <v>7</v>
      </c>
      <c r="B13" s="6" t="s">
        <v>75</v>
      </c>
      <c r="C13" s="6"/>
      <c r="D13" s="152" t="s">
        <v>31</v>
      </c>
      <c r="E13" s="152" t="s">
        <v>80</v>
      </c>
      <c r="F13" s="177">
        <v>376300</v>
      </c>
      <c r="G13" s="83" t="s">
        <v>23</v>
      </c>
      <c r="H13" s="83" t="s">
        <v>77</v>
      </c>
      <c r="I13" s="83">
        <v>1399</v>
      </c>
      <c r="J13" s="83" t="s">
        <v>472</v>
      </c>
      <c r="K13" s="219">
        <v>1</v>
      </c>
      <c r="L13" s="228"/>
      <c r="M13" s="83" t="s">
        <v>1856</v>
      </c>
      <c r="N13" s="229"/>
      <c r="O13" s="152"/>
      <c r="P13" s="110"/>
    </row>
    <row r="14" spans="1:16" s="26" customFormat="1" ht="77.25" customHeight="1">
      <c r="A14" s="659">
        <v>8</v>
      </c>
      <c r="B14" s="6" t="s">
        <v>75</v>
      </c>
      <c r="C14" s="6"/>
      <c r="D14" s="152" t="s">
        <v>31</v>
      </c>
      <c r="E14" s="152" t="s">
        <v>34</v>
      </c>
      <c r="F14" s="220">
        <v>337088</v>
      </c>
      <c r="G14" s="83" t="s">
        <v>23</v>
      </c>
      <c r="H14" s="83" t="s">
        <v>77</v>
      </c>
      <c r="I14" s="83">
        <v>1399</v>
      </c>
      <c r="J14" s="83" t="s">
        <v>472</v>
      </c>
      <c r="K14" s="219">
        <v>1</v>
      </c>
      <c r="L14" s="228"/>
      <c r="M14" s="354" t="s">
        <v>1856</v>
      </c>
      <c r="N14" s="229"/>
      <c r="O14" s="152"/>
      <c r="P14" s="110"/>
    </row>
    <row r="15" spans="1:16" s="26" customFormat="1" ht="58.5" customHeight="1">
      <c r="A15" s="659">
        <v>9</v>
      </c>
      <c r="B15" s="6" t="s">
        <v>75</v>
      </c>
      <c r="C15" s="6"/>
      <c r="D15" s="152" t="s">
        <v>31</v>
      </c>
      <c r="E15" s="152" t="s">
        <v>32</v>
      </c>
      <c r="F15" s="220">
        <v>244440</v>
      </c>
      <c r="G15" s="83" t="s">
        <v>23</v>
      </c>
      <c r="H15" s="83" t="s">
        <v>77</v>
      </c>
      <c r="I15" s="83">
        <v>1399</v>
      </c>
      <c r="J15" s="83" t="s">
        <v>472</v>
      </c>
      <c r="K15" s="219">
        <v>1</v>
      </c>
      <c r="L15" s="228"/>
      <c r="M15" s="354" t="s">
        <v>1856</v>
      </c>
      <c r="N15" s="229"/>
      <c r="O15" s="152"/>
      <c r="P15" s="110"/>
    </row>
    <row r="16" spans="1:16" s="26" customFormat="1" ht="45.75" customHeight="1">
      <c r="A16" s="659">
        <v>10</v>
      </c>
      <c r="B16" s="6" t="s">
        <v>75</v>
      </c>
      <c r="C16" s="6"/>
      <c r="D16" s="152" t="s">
        <v>31</v>
      </c>
      <c r="E16" s="152" t="s">
        <v>38</v>
      </c>
      <c r="F16" s="220">
        <v>81300</v>
      </c>
      <c r="G16" s="83" t="s">
        <v>23</v>
      </c>
      <c r="H16" s="83" t="s">
        <v>77</v>
      </c>
      <c r="I16" s="83">
        <v>1399</v>
      </c>
      <c r="J16" s="83" t="s">
        <v>472</v>
      </c>
      <c r="K16" s="219">
        <v>1</v>
      </c>
      <c r="L16" s="65"/>
      <c r="M16" s="354" t="s">
        <v>1856</v>
      </c>
      <c r="N16" s="229"/>
      <c r="O16" s="152"/>
      <c r="P16" s="110"/>
    </row>
    <row r="17" spans="1:16" s="26" customFormat="1" ht="73.150000000000006" customHeight="1">
      <c r="A17" s="659">
        <v>11</v>
      </c>
      <c r="B17" s="6" t="s">
        <v>75</v>
      </c>
      <c r="C17" s="6"/>
      <c r="D17" s="152" t="s">
        <v>31</v>
      </c>
      <c r="E17" s="152" t="s">
        <v>483</v>
      </c>
      <c r="F17" s="220">
        <v>252000</v>
      </c>
      <c r="G17" s="83" t="s">
        <v>23</v>
      </c>
      <c r="H17" s="83" t="s">
        <v>77</v>
      </c>
      <c r="I17" s="83">
        <v>1399</v>
      </c>
      <c r="J17" s="83" t="s">
        <v>472</v>
      </c>
      <c r="K17" s="219">
        <v>1</v>
      </c>
      <c r="L17" s="224"/>
      <c r="M17" s="354" t="s">
        <v>1856</v>
      </c>
      <c r="N17" s="229"/>
      <c r="O17" s="152"/>
      <c r="P17" s="110"/>
    </row>
    <row r="18" spans="1:16" s="34" customFormat="1" ht="71.25" customHeight="1">
      <c r="A18" s="659">
        <v>12</v>
      </c>
      <c r="B18" s="6" t="s">
        <v>75</v>
      </c>
      <c r="C18" s="6"/>
      <c r="D18" s="152" t="s">
        <v>40</v>
      </c>
      <c r="E18" s="164" t="s">
        <v>343</v>
      </c>
      <c r="F18" s="220">
        <f>2*1413600</f>
        <v>2827200</v>
      </c>
      <c r="G18" s="83" t="s">
        <v>23</v>
      </c>
      <c r="H18" s="83" t="s">
        <v>41</v>
      </c>
      <c r="I18" s="83">
        <v>1399</v>
      </c>
      <c r="J18" s="83" t="s">
        <v>472</v>
      </c>
      <c r="K18" s="219">
        <v>1</v>
      </c>
      <c r="L18" s="229"/>
      <c r="M18" s="354" t="s">
        <v>1856</v>
      </c>
      <c r="N18" s="229"/>
      <c r="O18" s="192"/>
      <c r="P18" s="819"/>
    </row>
    <row r="19" spans="1:16" s="34" customFormat="1" ht="36">
      <c r="A19" s="659">
        <v>13</v>
      </c>
      <c r="B19" s="6" t="s">
        <v>75</v>
      </c>
      <c r="C19" s="6"/>
      <c r="D19" s="152" t="s">
        <v>40</v>
      </c>
      <c r="E19" s="164" t="s">
        <v>482</v>
      </c>
      <c r="F19" s="220">
        <f>70* 58032</f>
        <v>4062240</v>
      </c>
      <c r="G19" s="83" t="s">
        <v>23</v>
      </c>
      <c r="H19" s="83" t="s">
        <v>41</v>
      </c>
      <c r="I19" s="83">
        <v>1399</v>
      </c>
      <c r="J19" s="83" t="s">
        <v>472</v>
      </c>
      <c r="K19" s="219">
        <v>1</v>
      </c>
      <c r="L19" s="229"/>
      <c r="M19" s="354" t="s">
        <v>1856</v>
      </c>
      <c r="N19" s="229"/>
      <c r="O19" s="152"/>
      <c r="P19" s="819"/>
    </row>
    <row r="20" spans="1:16" s="34" customFormat="1" ht="126">
      <c r="A20" s="659">
        <v>14</v>
      </c>
      <c r="B20" s="6" t="s">
        <v>75</v>
      </c>
      <c r="C20" s="6"/>
      <c r="D20" s="152" t="s">
        <v>40</v>
      </c>
      <c r="E20" s="164" t="s">
        <v>481</v>
      </c>
      <c r="F20" s="177" t="s">
        <v>17</v>
      </c>
      <c r="G20" s="83" t="s">
        <v>17</v>
      </c>
      <c r="H20" s="83" t="s">
        <v>17</v>
      </c>
      <c r="I20" s="83">
        <v>1399</v>
      </c>
      <c r="J20" s="83" t="s">
        <v>472</v>
      </c>
      <c r="K20" s="219">
        <v>1</v>
      </c>
      <c r="L20" s="229"/>
      <c r="M20" s="354" t="s">
        <v>1856</v>
      </c>
      <c r="N20" s="229"/>
      <c r="O20" s="193"/>
      <c r="P20" s="231" t="s">
        <v>83</v>
      </c>
    </row>
    <row r="21" spans="1:16" s="34" customFormat="1" ht="36">
      <c r="A21" s="659">
        <v>15</v>
      </c>
      <c r="B21" s="6" t="s">
        <v>75</v>
      </c>
      <c r="C21" s="6"/>
      <c r="D21" s="152" t="s">
        <v>40</v>
      </c>
      <c r="E21" s="164" t="s">
        <v>480</v>
      </c>
      <c r="F21" s="220">
        <f>10* 848904</f>
        <v>8489040</v>
      </c>
      <c r="G21" s="83" t="s">
        <v>23</v>
      </c>
      <c r="H21" s="83" t="s">
        <v>41</v>
      </c>
      <c r="I21" s="83">
        <v>1399</v>
      </c>
      <c r="J21" s="83" t="s">
        <v>472</v>
      </c>
      <c r="K21" s="219">
        <v>1</v>
      </c>
      <c r="L21" s="229"/>
      <c r="M21" s="354" t="s">
        <v>1856</v>
      </c>
      <c r="N21" s="229"/>
      <c r="O21" s="192"/>
      <c r="P21" s="231"/>
    </row>
    <row r="22" spans="1:16" s="34" customFormat="1" ht="49.9" customHeight="1">
      <c r="A22" s="659">
        <v>16</v>
      </c>
      <c r="B22" s="6" t="s">
        <v>75</v>
      </c>
      <c r="C22" s="6"/>
      <c r="D22" s="152" t="s">
        <v>40</v>
      </c>
      <c r="E22" s="164" t="s">
        <v>479</v>
      </c>
      <c r="F22" s="220">
        <f>1395* 148</f>
        <v>206460</v>
      </c>
      <c r="G22" s="83" t="s">
        <v>23</v>
      </c>
      <c r="H22" s="83" t="s">
        <v>41</v>
      </c>
      <c r="I22" s="83">
        <v>1399</v>
      </c>
      <c r="J22" s="83" t="s">
        <v>472</v>
      </c>
      <c r="K22" s="219">
        <v>1</v>
      </c>
      <c r="L22" s="229"/>
      <c r="M22" s="354" t="s">
        <v>1856</v>
      </c>
      <c r="N22" s="229"/>
      <c r="O22" s="152"/>
      <c r="P22" s="222"/>
    </row>
    <row r="23" spans="1:16" s="34" customFormat="1" ht="90">
      <c r="A23" s="659">
        <v>17</v>
      </c>
      <c r="B23" s="6" t="s">
        <v>75</v>
      </c>
      <c r="C23" s="6"/>
      <c r="D23" s="152" t="s">
        <v>40</v>
      </c>
      <c r="E23" s="164" t="s">
        <v>86</v>
      </c>
      <c r="F23" s="220"/>
      <c r="G23" s="83" t="s">
        <v>23</v>
      </c>
      <c r="H23" s="83" t="s">
        <v>41</v>
      </c>
      <c r="I23" s="83">
        <v>1399</v>
      </c>
      <c r="J23" s="83" t="s">
        <v>472</v>
      </c>
      <c r="K23" s="219">
        <v>1</v>
      </c>
      <c r="L23" s="230" t="s">
        <v>1828</v>
      </c>
      <c r="M23" s="354" t="s">
        <v>1856</v>
      </c>
      <c r="N23" s="22" t="s">
        <v>325</v>
      </c>
      <c r="O23" s="22" t="s">
        <v>959</v>
      </c>
      <c r="P23" s="222"/>
    </row>
    <row r="24" spans="1:16" s="34" customFormat="1" ht="36">
      <c r="A24" s="659">
        <v>18</v>
      </c>
      <c r="B24" s="6" t="s">
        <v>75</v>
      </c>
      <c r="C24" s="6"/>
      <c r="D24" s="152" t="s">
        <v>40</v>
      </c>
      <c r="E24" s="164" t="s">
        <v>478</v>
      </c>
      <c r="F24" s="220">
        <f>31* 22320</f>
        <v>691920</v>
      </c>
      <c r="G24" s="83" t="s">
        <v>23</v>
      </c>
      <c r="H24" s="83" t="s">
        <v>41</v>
      </c>
      <c r="I24" s="83">
        <v>1399</v>
      </c>
      <c r="J24" s="83" t="s">
        <v>472</v>
      </c>
      <c r="K24" s="219">
        <v>1</v>
      </c>
      <c r="L24" s="229"/>
      <c r="M24" s="354" t="s">
        <v>1856</v>
      </c>
      <c r="N24" s="229"/>
      <c r="O24" s="152"/>
      <c r="P24" s="231"/>
    </row>
    <row r="25" spans="1:16" s="34" customFormat="1" ht="51" customHeight="1">
      <c r="A25" s="659">
        <v>19</v>
      </c>
      <c r="B25" s="6" t="s">
        <v>75</v>
      </c>
      <c r="C25" s="6"/>
      <c r="D25" s="152" t="s">
        <v>40</v>
      </c>
      <c r="E25" s="164" t="s">
        <v>47</v>
      </c>
      <c r="F25" s="220">
        <f>150* 1518</f>
        <v>227700</v>
      </c>
      <c r="G25" s="83" t="s">
        <v>23</v>
      </c>
      <c r="H25" s="83" t="s">
        <v>41</v>
      </c>
      <c r="I25" s="83">
        <v>1399</v>
      </c>
      <c r="J25" s="83" t="s">
        <v>472</v>
      </c>
      <c r="K25" s="219">
        <v>1</v>
      </c>
      <c r="L25" s="229"/>
      <c r="M25" s="354" t="s">
        <v>1856</v>
      </c>
      <c r="N25" s="229"/>
      <c r="O25" s="152"/>
      <c r="P25" s="231"/>
    </row>
    <row r="26" spans="1:16" s="34" customFormat="1" ht="70.150000000000006" customHeight="1">
      <c r="A26" s="659">
        <v>20</v>
      </c>
      <c r="B26" s="6" t="s">
        <v>75</v>
      </c>
      <c r="C26" s="6"/>
      <c r="D26" s="152" t="s">
        <v>40</v>
      </c>
      <c r="E26" s="164" t="s">
        <v>48</v>
      </c>
      <c r="F26" s="220"/>
      <c r="G26" s="83" t="s">
        <v>23</v>
      </c>
      <c r="H26" s="83" t="s">
        <v>41</v>
      </c>
      <c r="I26" s="83">
        <v>1399</v>
      </c>
      <c r="J26" s="83" t="s">
        <v>472</v>
      </c>
      <c r="K26" s="219">
        <v>1</v>
      </c>
      <c r="L26" s="230" t="s">
        <v>1828</v>
      </c>
      <c r="M26" s="354" t="s">
        <v>1856</v>
      </c>
      <c r="N26" s="22" t="s">
        <v>325</v>
      </c>
      <c r="O26" s="22" t="s">
        <v>959</v>
      </c>
      <c r="P26" s="819"/>
    </row>
    <row r="27" spans="1:16" s="34" customFormat="1" ht="90.6" customHeight="1">
      <c r="A27" s="659">
        <v>21</v>
      </c>
      <c r="B27" s="6" t="s">
        <v>75</v>
      </c>
      <c r="C27" s="6"/>
      <c r="D27" s="152" t="s">
        <v>40</v>
      </c>
      <c r="E27" s="152" t="s">
        <v>49</v>
      </c>
      <c r="F27" s="220"/>
      <c r="G27" s="83" t="s">
        <v>23</v>
      </c>
      <c r="H27" s="83" t="s">
        <v>41</v>
      </c>
      <c r="I27" s="83">
        <v>1399</v>
      </c>
      <c r="J27" s="83" t="s">
        <v>472</v>
      </c>
      <c r="K27" s="219">
        <v>1</v>
      </c>
      <c r="L27" s="230" t="s">
        <v>1828</v>
      </c>
      <c r="M27" s="354" t="s">
        <v>1856</v>
      </c>
      <c r="N27" s="22" t="s">
        <v>325</v>
      </c>
      <c r="O27" s="22" t="s">
        <v>959</v>
      </c>
      <c r="P27" s="819"/>
    </row>
    <row r="28" spans="1:16" s="34" customFormat="1" ht="96.6" customHeight="1">
      <c r="A28" s="659">
        <v>22</v>
      </c>
      <c r="B28" s="6" t="s">
        <v>75</v>
      </c>
      <c r="C28" s="6"/>
      <c r="D28" s="152" t="s">
        <v>40</v>
      </c>
      <c r="E28" s="152" t="s">
        <v>92</v>
      </c>
      <c r="F28" s="220"/>
      <c r="G28" s="83" t="s">
        <v>23</v>
      </c>
      <c r="H28" s="83" t="s">
        <v>41</v>
      </c>
      <c r="I28" s="83">
        <v>1399</v>
      </c>
      <c r="J28" s="83" t="s">
        <v>472</v>
      </c>
      <c r="K28" s="219">
        <v>1</v>
      </c>
      <c r="L28" s="230" t="s">
        <v>1828</v>
      </c>
      <c r="M28" s="354" t="s">
        <v>1856</v>
      </c>
      <c r="N28" s="22" t="s">
        <v>325</v>
      </c>
      <c r="O28" s="22" t="s">
        <v>959</v>
      </c>
      <c r="P28" s="819"/>
    </row>
    <row r="29" spans="1:16" s="34" customFormat="1" ht="88.9" customHeight="1">
      <c r="A29" s="659">
        <v>23</v>
      </c>
      <c r="B29" s="6" t="s">
        <v>75</v>
      </c>
      <c r="C29" s="6"/>
      <c r="D29" s="152" t="s">
        <v>40</v>
      </c>
      <c r="E29" s="152" t="s">
        <v>103</v>
      </c>
      <c r="F29" s="220"/>
      <c r="G29" s="83" t="s">
        <v>23</v>
      </c>
      <c r="H29" s="83" t="s">
        <v>41</v>
      </c>
      <c r="I29" s="83">
        <v>1399</v>
      </c>
      <c r="J29" s="83" t="s">
        <v>472</v>
      </c>
      <c r="K29" s="219">
        <v>1</v>
      </c>
      <c r="L29" s="230" t="s">
        <v>1828</v>
      </c>
      <c r="M29" s="354" t="s">
        <v>1856</v>
      </c>
      <c r="N29" s="22" t="s">
        <v>325</v>
      </c>
      <c r="O29" s="22" t="s">
        <v>959</v>
      </c>
      <c r="P29" s="819"/>
    </row>
    <row r="30" spans="1:16" s="34" customFormat="1" ht="88.9" customHeight="1">
      <c r="A30" s="659">
        <v>24</v>
      </c>
      <c r="B30" s="6" t="s">
        <v>75</v>
      </c>
      <c r="C30" s="6"/>
      <c r="D30" s="152" t="s">
        <v>40</v>
      </c>
      <c r="E30" s="164" t="s">
        <v>477</v>
      </c>
      <c r="F30" s="220">
        <f>700* 315</f>
        <v>220500</v>
      </c>
      <c r="G30" s="83" t="s">
        <v>23</v>
      </c>
      <c r="H30" s="83" t="s">
        <v>41</v>
      </c>
      <c r="I30" s="83">
        <v>1399</v>
      </c>
      <c r="J30" s="83" t="s">
        <v>472</v>
      </c>
      <c r="K30" s="219">
        <v>1</v>
      </c>
      <c r="L30" s="229"/>
      <c r="M30" s="82" t="s">
        <v>33</v>
      </c>
      <c r="N30" s="229"/>
      <c r="O30" s="152"/>
      <c r="P30" s="819"/>
    </row>
    <row r="31" spans="1:16" s="34" customFormat="1" ht="36">
      <c r="A31" s="659">
        <v>25</v>
      </c>
      <c r="B31" s="6" t="s">
        <v>75</v>
      </c>
      <c r="C31" s="6"/>
      <c r="D31" s="152" t="s">
        <v>40</v>
      </c>
      <c r="E31" s="164" t="s">
        <v>94</v>
      </c>
      <c r="F31" s="220">
        <f>2* 45570</f>
        <v>91140</v>
      </c>
      <c r="G31" s="83" t="s">
        <v>23</v>
      </c>
      <c r="H31" s="83" t="s">
        <v>41</v>
      </c>
      <c r="I31" s="83">
        <v>1399</v>
      </c>
      <c r="J31" s="83" t="s">
        <v>472</v>
      </c>
      <c r="K31" s="219">
        <v>1</v>
      </c>
      <c r="L31" s="229"/>
      <c r="M31" s="82" t="s">
        <v>33</v>
      </c>
      <c r="N31" s="229"/>
      <c r="O31" s="152"/>
      <c r="P31" s="222"/>
    </row>
    <row r="32" spans="1:16" s="34" customFormat="1" ht="90">
      <c r="A32" s="659">
        <v>26</v>
      </c>
      <c r="B32" s="6" t="s">
        <v>75</v>
      </c>
      <c r="C32" s="6"/>
      <c r="D32" s="152" t="s">
        <v>40</v>
      </c>
      <c r="E32" s="164" t="s">
        <v>95</v>
      </c>
      <c r="F32" s="220"/>
      <c r="G32" s="83" t="s">
        <v>23</v>
      </c>
      <c r="H32" s="83" t="s">
        <v>41</v>
      </c>
      <c r="I32" s="83">
        <v>1399</v>
      </c>
      <c r="J32" s="83" t="s">
        <v>472</v>
      </c>
      <c r="K32" s="219">
        <v>1</v>
      </c>
      <c r="L32" s="230" t="s">
        <v>1828</v>
      </c>
      <c r="M32" s="82" t="s">
        <v>33</v>
      </c>
      <c r="N32" s="22" t="s">
        <v>325</v>
      </c>
      <c r="O32" s="22" t="s">
        <v>959</v>
      </c>
      <c r="P32" s="819"/>
    </row>
    <row r="33" spans="1:16" s="34" customFormat="1" ht="90">
      <c r="A33" s="659">
        <v>27</v>
      </c>
      <c r="B33" s="6" t="s">
        <v>75</v>
      </c>
      <c r="C33" s="6"/>
      <c r="D33" s="152" t="s">
        <v>40</v>
      </c>
      <c r="E33" s="164" t="s">
        <v>104</v>
      </c>
      <c r="F33" s="220"/>
      <c r="G33" s="83" t="s">
        <v>23</v>
      </c>
      <c r="H33" s="83" t="s">
        <v>41</v>
      </c>
      <c r="I33" s="83">
        <v>1399</v>
      </c>
      <c r="J33" s="83" t="s">
        <v>472</v>
      </c>
      <c r="K33" s="219">
        <v>1</v>
      </c>
      <c r="L33" s="230" t="s">
        <v>1828</v>
      </c>
      <c r="M33" s="82" t="s">
        <v>33</v>
      </c>
      <c r="N33" s="22" t="s">
        <v>325</v>
      </c>
      <c r="O33" s="22" t="s">
        <v>959</v>
      </c>
      <c r="P33" s="819"/>
    </row>
    <row r="34" spans="1:16" s="34" customFormat="1" ht="161.25" customHeight="1">
      <c r="A34" s="659">
        <v>28</v>
      </c>
      <c r="B34" s="6" t="s">
        <v>75</v>
      </c>
      <c r="C34" s="6" t="s">
        <v>476</v>
      </c>
      <c r="D34" s="152" t="s">
        <v>55</v>
      </c>
      <c r="E34" s="152" t="s">
        <v>475</v>
      </c>
      <c r="F34" s="220">
        <v>109700</v>
      </c>
      <c r="G34" s="83" t="s">
        <v>23</v>
      </c>
      <c r="H34" s="83" t="s">
        <v>77</v>
      </c>
      <c r="I34" s="83">
        <v>1399</v>
      </c>
      <c r="J34" s="83" t="s">
        <v>472</v>
      </c>
      <c r="K34" s="219">
        <v>1</v>
      </c>
      <c r="L34" s="229"/>
      <c r="M34" s="82" t="s">
        <v>33</v>
      </c>
      <c r="N34" s="229"/>
      <c r="O34" s="152"/>
      <c r="P34" s="222"/>
    </row>
    <row r="35" spans="1:16" ht="108">
      <c r="A35" s="659">
        <v>29</v>
      </c>
      <c r="B35" s="6" t="s">
        <v>75</v>
      </c>
      <c r="C35" s="152"/>
      <c r="D35" s="152" t="s">
        <v>76</v>
      </c>
      <c r="E35" s="152" t="s">
        <v>474</v>
      </c>
      <c r="F35" s="227">
        <v>197894997</v>
      </c>
      <c r="G35" s="82" t="s">
        <v>23</v>
      </c>
      <c r="H35" s="65" t="s">
        <v>77</v>
      </c>
      <c r="I35" s="82">
        <v>1399</v>
      </c>
      <c r="J35" s="65" t="s">
        <v>25</v>
      </c>
      <c r="K35" s="219">
        <v>1</v>
      </c>
      <c r="L35" s="64"/>
      <c r="M35" s="82" t="s">
        <v>33</v>
      </c>
      <c r="N35" s="65"/>
      <c r="O35" s="65"/>
      <c r="P35" s="33"/>
    </row>
    <row r="36" spans="1:16" s="34" customFormat="1" ht="97.9" customHeight="1">
      <c r="A36" s="659">
        <v>30</v>
      </c>
      <c r="B36" s="6" t="s">
        <v>75</v>
      </c>
      <c r="C36" s="462" t="s">
        <v>1063</v>
      </c>
      <c r="D36" s="462" t="s">
        <v>111</v>
      </c>
      <c r="E36" s="462" t="s">
        <v>473</v>
      </c>
      <c r="F36" s="220">
        <v>334000</v>
      </c>
      <c r="G36" s="354" t="s">
        <v>23</v>
      </c>
      <c r="H36" s="354" t="s">
        <v>77</v>
      </c>
      <c r="I36" s="354">
        <v>1399</v>
      </c>
      <c r="J36" s="354" t="s">
        <v>472</v>
      </c>
      <c r="K36" s="219">
        <v>1</v>
      </c>
      <c r="L36" s="22"/>
      <c r="M36" s="82" t="s">
        <v>33</v>
      </c>
      <c r="N36" s="22"/>
      <c r="O36" s="22"/>
      <c r="P36" s="459"/>
    </row>
    <row r="37" spans="1:16" s="34" customFormat="1" ht="72">
      <c r="A37" s="659">
        <v>31</v>
      </c>
      <c r="B37" s="6" t="s">
        <v>75</v>
      </c>
      <c r="C37" s="462" t="s">
        <v>1404</v>
      </c>
      <c r="D37" s="462" t="s">
        <v>111</v>
      </c>
      <c r="E37" s="462" t="s">
        <v>471</v>
      </c>
      <c r="F37" s="220">
        <v>320000</v>
      </c>
      <c r="G37" s="354" t="s">
        <v>23</v>
      </c>
      <c r="H37" s="354" t="s">
        <v>77</v>
      </c>
      <c r="I37" s="354">
        <v>1399</v>
      </c>
      <c r="J37" s="354" t="s">
        <v>25</v>
      </c>
      <c r="K37" s="219">
        <v>1</v>
      </c>
      <c r="L37" s="48"/>
      <c r="M37" s="82" t="s">
        <v>33</v>
      </c>
      <c r="N37" s="22"/>
      <c r="O37" s="22"/>
      <c r="P37" s="459"/>
    </row>
    <row r="38" spans="1:16" s="34" customFormat="1" ht="61.15" customHeight="1">
      <c r="A38" s="659">
        <v>32</v>
      </c>
      <c r="B38" s="6" t="s">
        <v>75</v>
      </c>
      <c r="C38" s="712" t="s">
        <v>1405</v>
      </c>
      <c r="D38" s="712" t="s">
        <v>57</v>
      </c>
      <c r="E38" s="712" t="s">
        <v>470</v>
      </c>
      <c r="F38" s="220">
        <v>7767360</v>
      </c>
      <c r="G38" s="354" t="s">
        <v>23</v>
      </c>
      <c r="H38" s="354" t="s">
        <v>58</v>
      </c>
      <c r="I38" s="354">
        <v>1399</v>
      </c>
      <c r="J38" s="354" t="s">
        <v>25</v>
      </c>
      <c r="K38" s="219">
        <v>0</v>
      </c>
      <c r="L38" s="82"/>
      <c r="M38" s="22" t="s">
        <v>81</v>
      </c>
      <c r="N38" s="715"/>
      <c r="O38" s="22"/>
      <c r="P38" s="708"/>
    </row>
    <row r="39" spans="1:16" s="34" customFormat="1" ht="54">
      <c r="A39" s="659">
        <v>33</v>
      </c>
      <c r="B39" s="6" t="s">
        <v>75</v>
      </c>
      <c r="C39" s="712" t="s">
        <v>1405</v>
      </c>
      <c r="D39" s="712" t="s">
        <v>57</v>
      </c>
      <c r="E39" s="712" t="s">
        <v>469</v>
      </c>
      <c r="F39" s="479">
        <v>10088640</v>
      </c>
      <c r="G39" s="714" t="s">
        <v>23</v>
      </c>
      <c r="H39" s="714" t="s">
        <v>58</v>
      </c>
      <c r="I39" s="714">
        <v>1399</v>
      </c>
      <c r="J39" s="714" t="s">
        <v>25</v>
      </c>
      <c r="K39" s="48">
        <v>0</v>
      </c>
      <c r="L39" s="718"/>
      <c r="M39" s="22" t="s">
        <v>81</v>
      </c>
      <c r="N39" s="22"/>
      <c r="O39" s="22"/>
      <c r="P39" s="110"/>
    </row>
    <row r="40" spans="1:16" s="34" customFormat="1" ht="54">
      <c r="A40" s="659">
        <v>34</v>
      </c>
      <c r="B40" s="6" t="s">
        <v>75</v>
      </c>
      <c r="C40" s="712" t="s">
        <v>1405</v>
      </c>
      <c r="D40" s="712" t="s">
        <v>57</v>
      </c>
      <c r="E40" s="712" t="s">
        <v>468</v>
      </c>
      <c r="F40" s="479">
        <v>6219840</v>
      </c>
      <c r="G40" s="714" t="s">
        <v>23</v>
      </c>
      <c r="H40" s="714" t="s">
        <v>58</v>
      </c>
      <c r="I40" s="714">
        <v>1399</v>
      </c>
      <c r="J40" s="714" t="s">
        <v>25</v>
      </c>
      <c r="K40" s="48">
        <v>0</v>
      </c>
      <c r="L40" s="718"/>
      <c r="M40" s="22" t="s">
        <v>81</v>
      </c>
      <c r="N40" s="22"/>
      <c r="O40" s="22"/>
      <c r="P40" s="110"/>
    </row>
    <row r="41" spans="1:16" s="34" customFormat="1" ht="54">
      <c r="A41" s="659">
        <v>35</v>
      </c>
      <c r="B41" s="6" t="s">
        <v>75</v>
      </c>
      <c r="C41" s="712" t="s">
        <v>1406</v>
      </c>
      <c r="D41" s="712" t="s">
        <v>57</v>
      </c>
      <c r="E41" s="712" t="s">
        <v>467</v>
      </c>
      <c r="F41" s="479">
        <v>1488000</v>
      </c>
      <c r="G41" s="714" t="s">
        <v>23</v>
      </c>
      <c r="H41" s="714" t="s">
        <v>58</v>
      </c>
      <c r="I41" s="714">
        <v>1399</v>
      </c>
      <c r="J41" s="714" t="s">
        <v>25</v>
      </c>
      <c r="K41" s="48">
        <v>0</v>
      </c>
      <c r="L41" s="718"/>
      <c r="M41" s="22" t="s">
        <v>81</v>
      </c>
      <c r="N41" s="22"/>
      <c r="O41" s="22"/>
      <c r="P41" s="110"/>
    </row>
    <row r="42" spans="1:16" s="34" customFormat="1" ht="54">
      <c r="A42" s="659">
        <v>36</v>
      </c>
      <c r="B42" s="6" t="s">
        <v>75</v>
      </c>
      <c r="C42" s="712" t="s">
        <v>1407</v>
      </c>
      <c r="D42" s="712" t="s">
        <v>57</v>
      </c>
      <c r="E42" s="712" t="s">
        <v>466</v>
      </c>
      <c r="F42" s="479">
        <v>5654400</v>
      </c>
      <c r="G42" s="714" t="s">
        <v>23</v>
      </c>
      <c r="H42" s="714" t="s">
        <v>58</v>
      </c>
      <c r="I42" s="714">
        <v>1399</v>
      </c>
      <c r="J42" s="714" t="s">
        <v>25</v>
      </c>
      <c r="K42" s="48">
        <v>0</v>
      </c>
      <c r="L42" s="718"/>
      <c r="M42" s="22" t="s">
        <v>1408</v>
      </c>
      <c r="N42" s="22"/>
      <c r="O42" s="22"/>
      <c r="P42" s="110"/>
    </row>
    <row r="43" spans="1:16" s="34" customFormat="1" ht="54" customHeight="1">
      <c r="A43" s="659">
        <v>37</v>
      </c>
      <c r="B43" s="6" t="s">
        <v>75</v>
      </c>
      <c r="C43" s="873" t="s">
        <v>1409</v>
      </c>
      <c r="D43" s="712" t="s">
        <v>57</v>
      </c>
      <c r="E43" s="712" t="s">
        <v>465</v>
      </c>
      <c r="F43" s="479">
        <v>247901</v>
      </c>
      <c r="G43" s="714" t="s">
        <v>23</v>
      </c>
      <c r="H43" s="714" t="s">
        <v>58</v>
      </c>
      <c r="I43" s="714">
        <v>1399</v>
      </c>
      <c r="J43" s="714" t="s">
        <v>25</v>
      </c>
      <c r="K43" s="48">
        <v>1</v>
      </c>
      <c r="L43" s="22"/>
      <c r="M43" s="22" t="s">
        <v>71</v>
      </c>
      <c r="N43" s="22"/>
      <c r="O43" s="22"/>
      <c r="P43" s="110"/>
    </row>
    <row r="44" spans="1:16" s="34" customFormat="1" ht="66.599999999999994" customHeight="1">
      <c r="A44" s="659">
        <v>38</v>
      </c>
      <c r="B44" s="6" t="s">
        <v>75</v>
      </c>
      <c r="C44" s="875"/>
      <c r="D44" s="712" t="s">
        <v>57</v>
      </c>
      <c r="E44" s="712" t="s">
        <v>464</v>
      </c>
      <c r="F44" s="479">
        <v>10627050</v>
      </c>
      <c r="G44" s="714" t="s">
        <v>23</v>
      </c>
      <c r="H44" s="714" t="s">
        <v>58</v>
      </c>
      <c r="I44" s="714">
        <v>1399</v>
      </c>
      <c r="J44" s="714" t="s">
        <v>25</v>
      </c>
      <c r="K44" s="48">
        <v>1</v>
      </c>
      <c r="L44" s="22"/>
      <c r="M44" s="22" t="s">
        <v>71</v>
      </c>
      <c r="N44" s="22"/>
      <c r="O44" s="22"/>
      <c r="P44" s="110"/>
    </row>
    <row r="45" spans="1:16" s="34" customFormat="1" ht="68.25" customHeight="1">
      <c r="A45" s="659">
        <v>39</v>
      </c>
      <c r="B45" s="6" t="s">
        <v>75</v>
      </c>
      <c r="C45" s="873" t="s">
        <v>1410</v>
      </c>
      <c r="D45" s="712" t="s">
        <v>57</v>
      </c>
      <c r="E45" s="164" t="s">
        <v>463</v>
      </c>
      <c r="F45" s="479">
        <v>1619316</v>
      </c>
      <c r="G45" s="714" t="s">
        <v>23</v>
      </c>
      <c r="H45" s="714" t="s">
        <v>58</v>
      </c>
      <c r="I45" s="714">
        <v>1399</v>
      </c>
      <c r="J45" s="714" t="s">
        <v>25</v>
      </c>
      <c r="K45" s="48">
        <v>1</v>
      </c>
      <c r="L45" s="22"/>
      <c r="M45" s="22" t="s">
        <v>459</v>
      </c>
      <c r="N45" s="22"/>
      <c r="O45" s="22"/>
      <c r="P45" s="110"/>
    </row>
    <row r="46" spans="1:16" s="34" customFormat="1" ht="77.45" customHeight="1">
      <c r="A46" s="659">
        <v>40</v>
      </c>
      <c r="B46" s="6" t="s">
        <v>75</v>
      </c>
      <c r="C46" s="874"/>
      <c r="D46" s="712" t="s">
        <v>57</v>
      </c>
      <c r="E46" s="712" t="s">
        <v>462</v>
      </c>
      <c r="F46" s="479">
        <v>550560</v>
      </c>
      <c r="G46" s="714" t="s">
        <v>23</v>
      </c>
      <c r="H46" s="714" t="s">
        <v>58</v>
      </c>
      <c r="I46" s="714">
        <v>1399</v>
      </c>
      <c r="J46" s="714" t="s">
        <v>25</v>
      </c>
      <c r="K46" s="48">
        <v>1</v>
      </c>
      <c r="L46" s="22"/>
      <c r="M46" s="22" t="s">
        <v>33</v>
      </c>
      <c r="N46" s="22"/>
      <c r="O46" s="22"/>
      <c r="P46" s="110"/>
    </row>
    <row r="47" spans="1:16" s="34" customFormat="1" ht="54" customHeight="1">
      <c r="A47" s="659">
        <v>41</v>
      </c>
      <c r="B47" s="6" t="s">
        <v>75</v>
      </c>
      <c r="C47" s="874"/>
      <c r="D47" s="712" t="s">
        <v>57</v>
      </c>
      <c r="E47" s="164" t="s">
        <v>461</v>
      </c>
      <c r="F47" s="479">
        <v>111600</v>
      </c>
      <c r="G47" s="714" t="s">
        <v>23</v>
      </c>
      <c r="H47" s="714" t="s">
        <v>58</v>
      </c>
      <c r="I47" s="714">
        <v>1399</v>
      </c>
      <c r="J47" s="714" t="s">
        <v>25</v>
      </c>
      <c r="K47" s="48">
        <v>1</v>
      </c>
      <c r="L47" s="22"/>
      <c r="M47" s="22" t="s">
        <v>459</v>
      </c>
      <c r="N47" s="22"/>
      <c r="O47" s="22"/>
      <c r="P47" s="110"/>
    </row>
    <row r="48" spans="1:16" s="34" customFormat="1" ht="50.25" customHeight="1">
      <c r="A48" s="659">
        <v>42</v>
      </c>
      <c r="B48" s="6" t="s">
        <v>75</v>
      </c>
      <c r="C48" s="874"/>
      <c r="D48" s="712" t="s">
        <v>57</v>
      </c>
      <c r="E48" s="164" t="s">
        <v>460</v>
      </c>
      <c r="F48" s="479">
        <v>558000</v>
      </c>
      <c r="G48" s="714" t="s">
        <v>23</v>
      </c>
      <c r="H48" s="714" t="s">
        <v>58</v>
      </c>
      <c r="I48" s="714">
        <v>1399</v>
      </c>
      <c r="J48" s="714" t="s">
        <v>25</v>
      </c>
      <c r="K48" s="48">
        <v>1</v>
      </c>
      <c r="L48" s="22"/>
      <c r="M48" s="22" t="s">
        <v>459</v>
      </c>
      <c r="N48" s="22"/>
      <c r="O48" s="22"/>
      <c r="P48" s="110"/>
    </row>
    <row r="49" spans="1:19" s="34" customFormat="1" ht="60" customHeight="1">
      <c r="A49" s="659">
        <v>43</v>
      </c>
      <c r="B49" s="6" t="s">
        <v>75</v>
      </c>
      <c r="C49" s="875"/>
      <c r="D49" s="712" t="s">
        <v>57</v>
      </c>
      <c r="E49" s="164" t="s">
        <v>458</v>
      </c>
      <c r="F49" s="479">
        <v>5403970</v>
      </c>
      <c r="G49" s="714" t="s">
        <v>23</v>
      </c>
      <c r="H49" s="714" t="s">
        <v>58</v>
      </c>
      <c r="I49" s="714">
        <v>1399</v>
      </c>
      <c r="J49" s="714" t="s">
        <v>25</v>
      </c>
      <c r="K49" s="48">
        <v>1</v>
      </c>
      <c r="L49" s="22"/>
      <c r="M49" s="22" t="s">
        <v>71</v>
      </c>
      <c r="N49" s="22"/>
      <c r="O49" s="22"/>
      <c r="P49" s="110"/>
    </row>
    <row r="50" spans="1:19" s="461" customFormat="1" ht="59.25" customHeight="1">
      <c r="A50" s="659">
        <v>44</v>
      </c>
      <c r="B50" s="6" t="s">
        <v>75</v>
      </c>
      <c r="C50" s="712" t="s">
        <v>1090</v>
      </c>
      <c r="D50" s="712" t="s">
        <v>59</v>
      </c>
      <c r="E50" s="712" t="s">
        <v>457</v>
      </c>
      <c r="F50" s="479">
        <v>1051410</v>
      </c>
      <c r="G50" s="714" t="s">
        <v>23</v>
      </c>
      <c r="H50" s="714" t="s">
        <v>58</v>
      </c>
      <c r="I50" s="714">
        <v>1399</v>
      </c>
      <c r="J50" s="714" t="s">
        <v>25</v>
      </c>
      <c r="K50" s="48">
        <v>0</v>
      </c>
      <c r="L50" s="22"/>
      <c r="M50" s="22" t="s">
        <v>1408</v>
      </c>
      <c r="N50" s="22"/>
      <c r="O50" s="22"/>
      <c r="P50" s="110"/>
      <c r="Q50" s="226"/>
      <c r="R50" s="29"/>
      <c r="S50" s="29"/>
    </row>
    <row r="51" spans="1:19" s="461" customFormat="1" ht="59.25" customHeight="1">
      <c r="A51" s="659">
        <v>45</v>
      </c>
      <c r="B51" s="6" t="s">
        <v>75</v>
      </c>
      <c r="C51" s="712" t="s">
        <v>1411</v>
      </c>
      <c r="D51" s="712" t="s">
        <v>59</v>
      </c>
      <c r="E51" s="712" t="s">
        <v>456</v>
      </c>
      <c r="F51" s="47">
        <v>1269017</v>
      </c>
      <c r="G51" s="714" t="s">
        <v>23</v>
      </c>
      <c r="H51" s="714" t="s">
        <v>58</v>
      </c>
      <c r="I51" s="714">
        <v>1399</v>
      </c>
      <c r="J51" s="714" t="s">
        <v>25</v>
      </c>
      <c r="K51" s="48">
        <v>0</v>
      </c>
      <c r="L51" s="22"/>
      <c r="M51" s="22" t="s">
        <v>81</v>
      </c>
      <c r="N51" s="22"/>
      <c r="O51" s="22"/>
      <c r="P51" s="110"/>
      <c r="Q51" s="226"/>
      <c r="R51" s="29"/>
      <c r="S51" s="29"/>
    </row>
    <row r="52" spans="1:19" s="461" customFormat="1" ht="59.25" customHeight="1">
      <c r="A52" s="659">
        <v>46</v>
      </c>
      <c r="B52" s="6" t="s">
        <v>75</v>
      </c>
      <c r="C52" s="712" t="s">
        <v>1412</v>
      </c>
      <c r="D52" s="712" t="s">
        <v>59</v>
      </c>
      <c r="E52" s="712" t="s">
        <v>455</v>
      </c>
      <c r="F52" s="47">
        <v>3819513</v>
      </c>
      <c r="G52" s="714" t="s">
        <v>23</v>
      </c>
      <c r="H52" s="714" t="s">
        <v>58</v>
      </c>
      <c r="I52" s="714">
        <v>1399</v>
      </c>
      <c r="J52" s="714" t="s">
        <v>25</v>
      </c>
      <c r="K52" s="48">
        <v>0</v>
      </c>
      <c r="L52" s="22"/>
      <c r="M52" s="22" t="s">
        <v>81</v>
      </c>
      <c r="N52" s="22"/>
      <c r="O52" s="159"/>
      <c r="P52" s="110"/>
      <c r="Q52" s="226"/>
      <c r="R52" s="29"/>
      <c r="S52" s="29"/>
    </row>
    <row r="53" spans="1:19" s="461" customFormat="1" ht="59.25" customHeight="1">
      <c r="A53" s="659">
        <v>47</v>
      </c>
      <c r="B53" s="6" t="s">
        <v>75</v>
      </c>
      <c r="C53" s="712" t="s">
        <v>1413</v>
      </c>
      <c r="D53" s="712" t="s">
        <v>59</v>
      </c>
      <c r="E53" s="712" t="s">
        <v>454</v>
      </c>
      <c r="F53" s="47">
        <v>3773208</v>
      </c>
      <c r="G53" s="714" t="s">
        <v>23</v>
      </c>
      <c r="H53" s="714" t="s">
        <v>58</v>
      </c>
      <c r="I53" s="714">
        <v>1399</v>
      </c>
      <c r="J53" s="714" t="s">
        <v>25</v>
      </c>
      <c r="K53" s="48">
        <v>0</v>
      </c>
      <c r="L53" s="22"/>
      <c r="M53" s="22" t="s">
        <v>1408</v>
      </c>
      <c r="N53" s="22"/>
      <c r="O53" s="40"/>
      <c r="P53" s="110"/>
      <c r="Q53" s="226"/>
      <c r="R53" s="29"/>
      <c r="S53" s="29"/>
    </row>
    <row r="54" spans="1:19" s="461" customFormat="1" ht="39.75" customHeight="1">
      <c r="A54" s="659">
        <v>48</v>
      </c>
      <c r="B54" s="6" t="s">
        <v>75</v>
      </c>
      <c r="C54" s="873" t="s">
        <v>1409</v>
      </c>
      <c r="D54" s="712" t="s">
        <v>59</v>
      </c>
      <c r="E54" s="225" t="s">
        <v>431</v>
      </c>
      <c r="F54" s="479">
        <v>267821</v>
      </c>
      <c r="G54" s="714" t="s">
        <v>23</v>
      </c>
      <c r="H54" s="714" t="s">
        <v>58</v>
      </c>
      <c r="I54" s="714">
        <v>1399</v>
      </c>
      <c r="J54" s="714" t="s">
        <v>25</v>
      </c>
      <c r="K54" s="48">
        <v>1</v>
      </c>
      <c r="L54" s="22"/>
      <c r="M54" s="22" t="s">
        <v>71</v>
      </c>
      <c r="N54" s="22"/>
      <c r="O54" s="22"/>
      <c r="P54" s="110"/>
      <c r="Q54" s="49"/>
      <c r="R54" s="29"/>
      <c r="S54" s="29"/>
    </row>
    <row r="55" spans="1:19" s="461" customFormat="1" ht="54">
      <c r="A55" s="659">
        <v>49</v>
      </c>
      <c r="B55" s="6" t="s">
        <v>75</v>
      </c>
      <c r="C55" s="874"/>
      <c r="D55" s="712" t="s">
        <v>59</v>
      </c>
      <c r="E55" s="225" t="s">
        <v>430</v>
      </c>
      <c r="F55" s="479">
        <v>18919</v>
      </c>
      <c r="G55" s="714" t="s">
        <v>23</v>
      </c>
      <c r="H55" s="714" t="s">
        <v>58</v>
      </c>
      <c r="I55" s="714">
        <v>1399</v>
      </c>
      <c r="J55" s="714" t="s">
        <v>25</v>
      </c>
      <c r="K55" s="48" t="s">
        <v>17</v>
      </c>
      <c r="L55" s="22" t="s">
        <v>35</v>
      </c>
      <c r="M55" s="22"/>
      <c r="N55" s="22" t="s">
        <v>1978</v>
      </c>
      <c r="O55" s="22" t="s">
        <v>1979</v>
      </c>
      <c r="P55" s="110"/>
      <c r="Q55" s="49"/>
      <c r="R55" s="29"/>
      <c r="S55" s="29"/>
    </row>
    <row r="56" spans="1:19" s="461" customFormat="1" ht="81.75" customHeight="1">
      <c r="A56" s="659">
        <v>50</v>
      </c>
      <c r="B56" s="6" t="s">
        <v>75</v>
      </c>
      <c r="C56" s="874"/>
      <c r="D56" s="712" t="s">
        <v>59</v>
      </c>
      <c r="E56" s="715" t="s">
        <v>453</v>
      </c>
      <c r="F56" s="479">
        <v>23955</v>
      </c>
      <c r="G56" s="714" t="s">
        <v>23</v>
      </c>
      <c r="H56" s="714" t="s">
        <v>58</v>
      </c>
      <c r="I56" s="714">
        <v>1399</v>
      </c>
      <c r="J56" s="714" t="s">
        <v>25</v>
      </c>
      <c r="K56" s="48" t="s">
        <v>17</v>
      </c>
      <c r="L56" s="22" t="s">
        <v>35</v>
      </c>
      <c r="M56" s="22"/>
      <c r="N56" s="22" t="s">
        <v>1978</v>
      </c>
      <c r="O56" s="22" t="s">
        <v>1979</v>
      </c>
      <c r="P56" s="110"/>
      <c r="Q56" s="49"/>
      <c r="R56" s="29"/>
      <c r="S56" s="29"/>
    </row>
    <row r="57" spans="1:19" s="461" customFormat="1" ht="59.45" customHeight="1">
      <c r="A57" s="659">
        <v>51</v>
      </c>
      <c r="B57" s="6" t="s">
        <v>75</v>
      </c>
      <c r="C57" s="874"/>
      <c r="D57" s="712" t="s">
        <v>59</v>
      </c>
      <c r="E57" s="225" t="s">
        <v>60</v>
      </c>
      <c r="F57" s="479">
        <v>138600</v>
      </c>
      <c r="G57" s="714" t="s">
        <v>23</v>
      </c>
      <c r="H57" s="714" t="s">
        <v>58</v>
      </c>
      <c r="I57" s="714">
        <v>1399</v>
      </c>
      <c r="J57" s="714" t="s">
        <v>25</v>
      </c>
      <c r="K57" s="48" t="s">
        <v>17</v>
      </c>
      <c r="L57" s="22" t="s">
        <v>35</v>
      </c>
      <c r="M57" s="22"/>
      <c r="N57" s="22" t="s">
        <v>1978</v>
      </c>
      <c r="O57" s="22" t="s">
        <v>1979</v>
      </c>
      <c r="P57" s="110"/>
      <c r="Q57" s="49"/>
      <c r="R57" s="29"/>
      <c r="S57" s="29"/>
    </row>
    <row r="58" spans="1:19" s="461" customFormat="1" ht="54">
      <c r="A58" s="659">
        <v>52</v>
      </c>
      <c r="B58" s="6" t="s">
        <v>75</v>
      </c>
      <c r="C58" s="874"/>
      <c r="D58" s="712" t="s">
        <v>59</v>
      </c>
      <c r="E58" s="6" t="s">
        <v>61</v>
      </c>
      <c r="F58" s="479">
        <v>18480</v>
      </c>
      <c r="G58" s="714" t="s">
        <v>23</v>
      </c>
      <c r="H58" s="714" t="s">
        <v>58</v>
      </c>
      <c r="I58" s="714">
        <v>1399</v>
      </c>
      <c r="J58" s="714" t="s">
        <v>25</v>
      </c>
      <c r="K58" s="48" t="s">
        <v>17</v>
      </c>
      <c r="L58" s="718" t="s">
        <v>3</v>
      </c>
      <c r="M58" s="22"/>
      <c r="N58" s="22" t="s">
        <v>1414</v>
      </c>
      <c r="O58" s="22" t="s">
        <v>1979</v>
      </c>
      <c r="P58" s="110"/>
      <c r="Q58" s="50"/>
      <c r="R58" s="29"/>
      <c r="S58" s="29"/>
    </row>
    <row r="59" spans="1:19" s="461" customFormat="1" ht="54">
      <c r="A59" s="659">
        <v>53</v>
      </c>
      <c r="B59" s="6" t="s">
        <v>75</v>
      </c>
      <c r="C59" s="874"/>
      <c r="D59" s="712" t="s">
        <v>59</v>
      </c>
      <c r="E59" s="715" t="s">
        <v>429</v>
      </c>
      <c r="F59" s="479">
        <v>713513</v>
      </c>
      <c r="G59" s="714" t="s">
        <v>23</v>
      </c>
      <c r="H59" s="714" t="s">
        <v>58</v>
      </c>
      <c r="I59" s="714">
        <v>1399</v>
      </c>
      <c r="J59" s="714" t="s">
        <v>25</v>
      </c>
      <c r="K59" s="48" t="s">
        <v>17</v>
      </c>
      <c r="L59" s="718" t="s">
        <v>3</v>
      </c>
      <c r="M59" s="22"/>
      <c r="N59" s="22" t="s">
        <v>1414</v>
      </c>
      <c r="O59" s="22" t="s">
        <v>1979</v>
      </c>
      <c r="P59" s="110"/>
      <c r="Q59" s="50"/>
      <c r="R59" s="29"/>
      <c r="S59" s="29"/>
    </row>
    <row r="60" spans="1:19" s="461" customFormat="1" ht="54">
      <c r="A60" s="659">
        <v>54</v>
      </c>
      <c r="B60" s="6" t="s">
        <v>75</v>
      </c>
      <c r="C60" s="874"/>
      <c r="D60" s="712" t="s">
        <v>59</v>
      </c>
      <c r="E60" s="712" t="s">
        <v>452</v>
      </c>
      <c r="F60" s="479">
        <v>470501</v>
      </c>
      <c r="G60" s="714" t="s">
        <v>23</v>
      </c>
      <c r="H60" s="714" t="s">
        <v>58</v>
      </c>
      <c r="I60" s="714">
        <v>1399</v>
      </c>
      <c r="J60" s="714" t="s">
        <v>25</v>
      </c>
      <c r="K60" s="48" t="s">
        <v>17</v>
      </c>
      <c r="L60" s="718" t="s">
        <v>3</v>
      </c>
      <c r="M60" s="22"/>
      <c r="N60" s="22" t="s">
        <v>1414</v>
      </c>
      <c r="O60" s="22" t="s">
        <v>1979</v>
      </c>
      <c r="P60" s="110"/>
      <c r="Q60" s="51"/>
      <c r="R60" s="29"/>
      <c r="S60" s="29"/>
    </row>
    <row r="61" spans="1:19" s="461" customFormat="1" ht="54">
      <c r="A61" s="659">
        <v>55</v>
      </c>
      <c r="B61" s="6" t="s">
        <v>75</v>
      </c>
      <c r="C61" s="874"/>
      <c r="D61" s="712" t="s">
        <v>59</v>
      </c>
      <c r="E61" s="712" t="s">
        <v>428</v>
      </c>
      <c r="F61" s="47">
        <v>133980</v>
      </c>
      <c r="G61" s="714" t="s">
        <v>23</v>
      </c>
      <c r="H61" s="714" t="s">
        <v>58</v>
      </c>
      <c r="I61" s="714">
        <v>1399</v>
      </c>
      <c r="J61" s="714" t="s">
        <v>25</v>
      </c>
      <c r="K61" s="48">
        <v>1</v>
      </c>
      <c r="L61" s="22"/>
      <c r="M61" s="22" t="s">
        <v>71</v>
      </c>
      <c r="N61" s="22"/>
      <c r="O61" s="22"/>
      <c r="P61" s="110"/>
      <c r="Q61" s="51"/>
      <c r="R61" s="29"/>
      <c r="S61" s="29"/>
    </row>
    <row r="62" spans="1:19" s="461" customFormat="1" ht="54">
      <c r="A62" s="659">
        <v>56</v>
      </c>
      <c r="B62" s="6" t="s">
        <v>75</v>
      </c>
      <c r="C62" s="874"/>
      <c r="D62" s="712" t="s">
        <v>59</v>
      </c>
      <c r="E62" s="712" t="s">
        <v>427</v>
      </c>
      <c r="F62" s="47">
        <v>5084</v>
      </c>
      <c r="G62" s="714" t="s">
        <v>23</v>
      </c>
      <c r="H62" s="714" t="s">
        <v>58</v>
      </c>
      <c r="I62" s="714">
        <v>1399</v>
      </c>
      <c r="J62" s="714" t="s">
        <v>25</v>
      </c>
      <c r="K62" s="48">
        <v>1</v>
      </c>
      <c r="L62" s="22"/>
      <c r="M62" s="22" t="s">
        <v>33</v>
      </c>
      <c r="N62" s="22"/>
      <c r="O62" s="22"/>
      <c r="P62" s="110"/>
      <c r="Q62" s="51"/>
      <c r="R62" s="29"/>
      <c r="S62" s="29"/>
    </row>
    <row r="63" spans="1:19" s="461" customFormat="1" ht="54">
      <c r="A63" s="659">
        <v>57</v>
      </c>
      <c r="B63" s="6" t="s">
        <v>75</v>
      </c>
      <c r="C63" s="874"/>
      <c r="D63" s="712" t="s">
        <v>59</v>
      </c>
      <c r="E63" s="712" t="s">
        <v>426</v>
      </c>
      <c r="F63" s="47">
        <v>4620</v>
      </c>
      <c r="G63" s="714" t="s">
        <v>23</v>
      </c>
      <c r="H63" s="714" t="s">
        <v>58</v>
      </c>
      <c r="I63" s="714">
        <v>1399</v>
      </c>
      <c r="J63" s="714" t="s">
        <v>25</v>
      </c>
      <c r="K63" s="48" t="s">
        <v>17</v>
      </c>
      <c r="L63" s="22" t="s">
        <v>35</v>
      </c>
      <c r="M63" s="22"/>
      <c r="N63" s="22" t="s">
        <v>1416</v>
      </c>
      <c r="O63" s="22" t="s">
        <v>1415</v>
      </c>
      <c r="P63" s="110"/>
      <c r="Q63" s="51"/>
      <c r="R63" s="29"/>
      <c r="S63" s="29"/>
    </row>
    <row r="64" spans="1:19" s="461" customFormat="1" ht="54">
      <c r="A64" s="659">
        <v>58</v>
      </c>
      <c r="B64" s="6" t="s">
        <v>75</v>
      </c>
      <c r="C64" s="874"/>
      <c r="D64" s="712" t="s">
        <v>59</v>
      </c>
      <c r="E64" s="712" t="s">
        <v>425</v>
      </c>
      <c r="F64" s="479">
        <v>1109188</v>
      </c>
      <c r="G64" s="714" t="s">
        <v>23</v>
      </c>
      <c r="H64" s="714" t="s">
        <v>58</v>
      </c>
      <c r="I64" s="714">
        <v>1399</v>
      </c>
      <c r="J64" s="714" t="s">
        <v>25</v>
      </c>
      <c r="K64" s="48">
        <v>1</v>
      </c>
      <c r="L64" s="22"/>
      <c r="M64" s="22" t="s">
        <v>71</v>
      </c>
      <c r="N64" s="22" t="s">
        <v>17</v>
      </c>
      <c r="O64" s="22"/>
      <c r="P64" s="110"/>
      <c r="Q64" s="51"/>
      <c r="R64" s="29"/>
      <c r="S64" s="29"/>
    </row>
    <row r="65" spans="1:19" s="461" customFormat="1" ht="54">
      <c r="A65" s="659">
        <v>59</v>
      </c>
      <c r="B65" s="6" t="s">
        <v>75</v>
      </c>
      <c r="C65" s="874"/>
      <c r="D65" s="712" t="s">
        <v>59</v>
      </c>
      <c r="E65" s="712" t="s">
        <v>424</v>
      </c>
      <c r="F65" s="479">
        <v>3407647</v>
      </c>
      <c r="G65" s="714" t="s">
        <v>23</v>
      </c>
      <c r="H65" s="714" t="s">
        <v>58</v>
      </c>
      <c r="I65" s="714">
        <v>1399</v>
      </c>
      <c r="J65" s="714" t="s">
        <v>25</v>
      </c>
      <c r="K65" s="48">
        <v>0</v>
      </c>
      <c r="L65" s="22"/>
      <c r="M65" s="22" t="s">
        <v>81</v>
      </c>
      <c r="N65" s="22" t="s">
        <v>17</v>
      </c>
      <c r="O65" s="22"/>
      <c r="P65" s="110"/>
      <c r="Q65" s="51"/>
      <c r="R65" s="29"/>
      <c r="S65" s="29"/>
    </row>
    <row r="66" spans="1:19" s="461" customFormat="1" ht="54">
      <c r="A66" s="659">
        <v>60</v>
      </c>
      <c r="B66" s="6" t="s">
        <v>75</v>
      </c>
      <c r="C66" s="874"/>
      <c r="D66" s="712" t="s">
        <v>59</v>
      </c>
      <c r="E66" s="712" t="s">
        <v>423</v>
      </c>
      <c r="F66" s="479">
        <v>369600</v>
      </c>
      <c r="G66" s="714" t="s">
        <v>23</v>
      </c>
      <c r="H66" s="714" t="s">
        <v>58</v>
      </c>
      <c r="I66" s="714">
        <v>1399</v>
      </c>
      <c r="J66" s="714" t="s">
        <v>25</v>
      </c>
      <c r="K66" s="48">
        <v>0.2</v>
      </c>
      <c r="L66" s="534"/>
      <c r="M66" s="22" t="s">
        <v>39</v>
      </c>
      <c r="N66" s="534" t="s">
        <v>17</v>
      </c>
      <c r="O66" s="534"/>
      <c r="P66" s="110"/>
      <c r="Q66" s="51"/>
      <c r="R66" s="29"/>
      <c r="S66" s="29"/>
    </row>
    <row r="67" spans="1:19" s="461" customFormat="1" ht="54">
      <c r="A67" s="659">
        <v>61</v>
      </c>
      <c r="B67" s="6" t="s">
        <v>75</v>
      </c>
      <c r="C67" s="874"/>
      <c r="D67" s="712" t="s">
        <v>59</v>
      </c>
      <c r="E67" s="712" t="s">
        <v>422</v>
      </c>
      <c r="F67" s="479">
        <v>1383727</v>
      </c>
      <c r="G67" s="714" t="s">
        <v>23</v>
      </c>
      <c r="H67" s="714" t="s">
        <v>58</v>
      </c>
      <c r="I67" s="714">
        <v>1399</v>
      </c>
      <c r="J67" s="714" t="s">
        <v>25</v>
      </c>
      <c r="K67" s="48" t="s">
        <v>17</v>
      </c>
      <c r="L67" s="159" t="s">
        <v>3</v>
      </c>
      <c r="M67" s="22"/>
      <c r="N67" s="496" t="s">
        <v>1417</v>
      </c>
      <c r="O67" s="496" t="s">
        <v>1415</v>
      </c>
      <c r="P67" s="110"/>
      <c r="Q67" s="51"/>
      <c r="R67" s="29"/>
      <c r="S67" s="29"/>
    </row>
    <row r="68" spans="1:19" s="461" customFormat="1" ht="54">
      <c r="A68" s="659">
        <v>62</v>
      </c>
      <c r="B68" s="6" t="s">
        <v>75</v>
      </c>
      <c r="C68" s="874"/>
      <c r="D68" s="712" t="s">
        <v>59</v>
      </c>
      <c r="E68" s="712" t="s">
        <v>421</v>
      </c>
      <c r="F68" s="479">
        <v>1460290</v>
      </c>
      <c r="G68" s="714" t="s">
        <v>23</v>
      </c>
      <c r="H68" s="714" t="s">
        <v>58</v>
      </c>
      <c r="I68" s="714">
        <v>1399</v>
      </c>
      <c r="J68" s="714" t="s">
        <v>25</v>
      </c>
      <c r="K68" s="48">
        <v>0.4</v>
      </c>
      <c r="L68" s="110"/>
      <c r="M68" s="22" t="s">
        <v>39</v>
      </c>
      <c r="N68" s="159"/>
      <c r="O68" s="159"/>
      <c r="P68" s="110"/>
      <c r="Q68" s="51"/>
      <c r="R68" s="29"/>
      <c r="S68" s="29"/>
    </row>
    <row r="69" spans="1:19" s="461" customFormat="1" ht="54">
      <c r="A69" s="659">
        <v>63</v>
      </c>
      <c r="B69" s="6" t="s">
        <v>75</v>
      </c>
      <c r="C69" s="874"/>
      <c r="D69" s="712" t="s">
        <v>59</v>
      </c>
      <c r="E69" s="712" t="s">
        <v>451</v>
      </c>
      <c r="F69" s="479">
        <v>492492</v>
      </c>
      <c r="G69" s="714" t="s">
        <v>23</v>
      </c>
      <c r="H69" s="714" t="s">
        <v>58</v>
      </c>
      <c r="I69" s="714">
        <v>1399</v>
      </c>
      <c r="J69" s="714" t="s">
        <v>25</v>
      </c>
      <c r="K69" s="48" t="s">
        <v>17</v>
      </c>
      <c r="L69" s="27" t="s">
        <v>35</v>
      </c>
      <c r="M69" s="22"/>
      <c r="N69" s="22" t="s">
        <v>1417</v>
      </c>
      <c r="O69" s="22" t="s">
        <v>1415</v>
      </c>
      <c r="P69" s="110"/>
      <c r="Q69" s="51"/>
      <c r="R69" s="29"/>
      <c r="S69" s="29"/>
    </row>
    <row r="70" spans="1:19" s="461" customFormat="1" ht="54">
      <c r="A70" s="659">
        <v>64</v>
      </c>
      <c r="B70" s="6" t="s">
        <v>75</v>
      </c>
      <c r="C70" s="874"/>
      <c r="D70" s="712" t="s">
        <v>59</v>
      </c>
      <c r="E70" s="712" t="s">
        <v>62</v>
      </c>
      <c r="F70" s="479">
        <v>2053333</v>
      </c>
      <c r="G70" s="714" t="s">
        <v>23</v>
      </c>
      <c r="H70" s="714" t="s">
        <v>58</v>
      </c>
      <c r="I70" s="714">
        <v>1399</v>
      </c>
      <c r="J70" s="714" t="s">
        <v>25</v>
      </c>
      <c r="K70" s="48">
        <v>0</v>
      </c>
      <c r="L70" s="159"/>
      <c r="M70" s="22" t="s">
        <v>81</v>
      </c>
      <c r="N70" s="159"/>
      <c r="O70" s="159"/>
      <c r="P70" s="110"/>
      <c r="Q70" s="51"/>
      <c r="R70" s="29"/>
      <c r="S70" s="29"/>
    </row>
    <row r="71" spans="1:19" s="461" customFormat="1" ht="54">
      <c r="A71" s="659">
        <v>65</v>
      </c>
      <c r="B71" s="6" t="s">
        <v>75</v>
      </c>
      <c r="C71" s="874"/>
      <c r="D71" s="705" t="s">
        <v>59</v>
      </c>
      <c r="E71" s="712" t="s">
        <v>420</v>
      </c>
      <c r="F71" s="479">
        <v>929310</v>
      </c>
      <c r="G71" s="714" t="s">
        <v>23</v>
      </c>
      <c r="H71" s="714" t="s">
        <v>58</v>
      </c>
      <c r="I71" s="714">
        <v>1399</v>
      </c>
      <c r="J71" s="714" t="s">
        <v>25</v>
      </c>
      <c r="K71" s="48">
        <v>0</v>
      </c>
      <c r="L71" s="159"/>
      <c r="M71" s="22" t="s">
        <v>81</v>
      </c>
      <c r="N71" s="159"/>
      <c r="O71" s="159"/>
      <c r="P71" s="110"/>
      <c r="Q71" s="51"/>
      <c r="R71" s="29"/>
      <c r="S71" s="29"/>
    </row>
    <row r="72" spans="1:19" s="461" customFormat="1" ht="54">
      <c r="A72" s="659">
        <v>66</v>
      </c>
      <c r="B72" s="6" t="s">
        <v>75</v>
      </c>
      <c r="C72" s="874"/>
      <c r="D72" s="712" t="s">
        <v>59</v>
      </c>
      <c r="E72" s="712" t="s">
        <v>63</v>
      </c>
      <c r="F72" s="479">
        <v>1540000</v>
      </c>
      <c r="G72" s="714" t="s">
        <v>23</v>
      </c>
      <c r="H72" s="714" t="s">
        <v>58</v>
      </c>
      <c r="I72" s="714">
        <v>1399</v>
      </c>
      <c r="J72" s="714" t="s">
        <v>25</v>
      </c>
      <c r="K72" s="48">
        <v>0</v>
      </c>
      <c r="L72" s="159"/>
      <c r="M72" s="22" t="s">
        <v>81</v>
      </c>
      <c r="N72" s="159"/>
      <c r="O72" s="159"/>
      <c r="P72" s="110"/>
      <c r="Q72" s="51"/>
      <c r="R72" s="29"/>
      <c r="S72" s="29"/>
    </row>
    <row r="73" spans="1:19" s="461" customFormat="1" ht="54">
      <c r="A73" s="659">
        <v>67</v>
      </c>
      <c r="B73" s="6" t="s">
        <v>75</v>
      </c>
      <c r="C73" s="874"/>
      <c r="D73" s="712" t="s">
        <v>59</v>
      </c>
      <c r="E73" s="712" t="s">
        <v>450</v>
      </c>
      <c r="F73" s="479">
        <v>1152000</v>
      </c>
      <c r="G73" s="714" t="s">
        <v>23</v>
      </c>
      <c r="H73" s="714" t="s">
        <v>58</v>
      </c>
      <c r="I73" s="714">
        <v>1399</v>
      </c>
      <c r="J73" s="714" t="s">
        <v>25</v>
      </c>
      <c r="K73" s="48" t="s">
        <v>17</v>
      </c>
      <c r="L73" s="159" t="s">
        <v>3</v>
      </c>
      <c r="M73" s="22"/>
      <c r="N73" s="22" t="s">
        <v>1980</v>
      </c>
      <c r="O73" s="22" t="s">
        <v>1415</v>
      </c>
      <c r="P73" s="110"/>
      <c r="Q73" s="51"/>
      <c r="R73" s="29"/>
      <c r="S73" s="29"/>
    </row>
    <row r="74" spans="1:19" s="461" customFormat="1" ht="54">
      <c r="A74" s="659">
        <v>68</v>
      </c>
      <c r="B74" s="6" t="s">
        <v>75</v>
      </c>
      <c r="C74" s="874"/>
      <c r="D74" s="712" t="s">
        <v>59</v>
      </c>
      <c r="E74" s="712" t="s">
        <v>64</v>
      </c>
      <c r="F74" s="479">
        <v>2640000</v>
      </c>
      <c r="G74" s="714" t="s">
        <v>23</v>
      </c>
      <c r="H74" s="714" t="s">
        <v>58</v>
      </c>
      <c r="I74" s="714">
        <v>1399</v>
      </c>
      <c r="J74" s="714" t="s">
        <v>25</v>
      </c>
      <c r="K74" s="48">
        <v>1</v>
      </c>
      <c r="L74" s="159"/>
      <c r="M74" s="22" t="s">
        <v>1116</v>
      </c>
      <c r="N74" s="159"/>
      <c r="O74" s="159"/>
      <c r="P74" s="110"/>
      <c r="Q74" s="51"/>
      <c r="R74" s="29"/>
      <c r="S74" s="29"/>
    </row>
    <row r="75" spans="1:19" s="461" customFormat="1" ht="54">
      <c r="A75" s="659">
        <v>69</v>
      </c>
      <c r="B75" s="6" t="s">
        <v>75</v>
      </c>
      <c r="C75" s="874"/>
      <c r="D75" s="712" t="s">
        <v>59</v>
      </c>
      <c r="E75" s="712" t="s">
        <v>65</v>
      </c>
      <c r="F75" s="479">
        <v>7150000</v>
      </c>
      <c r="G75" s="714" t="s">
        <v>23</v>
      </c>
      <c r="H75" s="714" t="s">
        <v>58</v>
      </c>
      <c r="I75" s="714">
        <v>1399</v>
      </c>
      <c r="J75" s="714" t="s">
        <v>25</v>
      </c>
      <c r="K75" s="48" t="s">
        <v>17</v>
      </c>
      <c r="L75" s="105" t="s">
        <v>35</v>
      </c>
      <c r="M75" s="22"/>
      <c r="N75" s="22" t="s">
        <v>1981</v>
      </c>
      <c r="O75" s="159"/>
      <c r="P75" s="110"/>
      <c r="Q75" s="51"/>
      <c r="R75" s="29"/>
      <c r="S75" s="29"/>
    </row>
    <row r="76" spans="1:19" s="461" customFormat="1" ht="54">
      <c r="A76" s="659">
        <v>70</v>
      </c>
      <c r="B76" s="6" t="s">
        <v>75</v>
      </c>
      <c r="C76" s="874"/>
      <c r="D76" s="712" t="s">
        <v>59</v>
      </c>
      <c r="E76" s="712" t="s">
        <v>419</v>
      </c>
      <c r="F76" s="479">
        <v>11370198</v>
      </c>
      <c r="G76" s="714" t="s">
        <v>23</v>
      </c>
      <c r="H76" s="714" t="s">
        <v>58</v>
      </c>
      <c r="I76" s="714">
        <v>1399</v>
      </c>
      <c r="J76" s="714" t="s">
        <v>25</v>
      </c>
      <c r="K76" s="48">
        <v>0</v>
      </c>
      <c r="L76" s="159"/>
      <c r="M76" s="22" t="s">
        <v>81</v>
      </c>
      <c r="N76" s="159"/>
      <c r="O76" s="159"/>
      <c r="P76" s="110"/>
      <c r="Q76" s="51"/>
      <c r="R76" s="29"/>
      <c r="S76" s="29"/>
    </row>
    <row r="77" spans="1:19" s="461" customFormat="1" ht="54">
      <c r="A77" s="659">
        <v>71</v>
      </c>
      <c r="B77" s="6" t="s">
        <v>75</v>
      </c>
      <c r="C77" s="875"/>
      <c r="D77" s="712" t="s">
        <v>59</v>
      </c>
      <c r="E77" s="712" t="s">
        <v>66</v>
      </c>
      <c r="F77" s="479">
        <v>1348270</v>
      </c>
      <c r="G77" s="714" t="s">
        <v>23</v>
      </c>
      <c r="H77" s="714" t="s">
        <v>58</v>
      </c>
      <c r="I77" s="714">
        <v>1399</v>
      </c>
      <c r="J77" s="714" t="s">
        <v>25</v>
      </c>
      <c r="K77" s="48">
        <v>1</v>
      </c>
      <c r="L77" s="159"/>
      <c r="M77" s="22" t="s">
        <v>329</v>
      </c>
      <c r="N77" s="159"/>
      <c r="O77" s="159"/>
      <c r="P77" s="110"/>
      <c r="Q77" s="51"/>
      <c r="R77" s="29"/>
      <c r="S77" s="29"/>
    </row>
    <row r="78" spans="1:19" s="552" customFormat="1" ht="108" customHeight="1">
      <c r="A78" s="659">
        <v>72</v>
      </c>
      <c r="B78" s="237" t="s">
        <v>20</v>
      </c>
      <c r="C78" s="196"/>
      <c r="D78" s="196" t="s">
        <v>1473</v>
      </c>
      <c r="E78" s="237" t="s">
        <v>1013</v>
      </c>
      <c r="F78" s="259">
        <v>385370</v>
      </c>
      <c r="G78" s="354" t="s">
        <v>23</v>
      </c>
      <c r="H78" s="476" t="s">
        <v>24</v>
      </c>
      <c r="I78" s="354">
        <v>1399</v>
      </c>
      <c r="J78" s="551" t="s">
        <v>25</v>
      </c>
      <c r="K78" s="219">
        <v>1</v>
      </c>
      <c r="L78" s="33"/>
      <c r="M78" s="692" t="s">
        <v>329</v>
      </c>
      <c r="N78" s="33"/>
      <c r="O78" s="236"/>
      <c r="P78" s="553"/>
    </row>
    <row r="79" spans="1:19" s="552" customFormat="1" ht="61.5" customHeight="1">
      <c r="A79" s="659">
        <v>73</v>
      </c>
      <c r="B79" s="6" t="s">
        <v>75</v>
      </c>
      <c r="C79" s="237"/>
      <c r="D79" s="196" t="s">
        <v>73</v>
      </c>
      <c r="E79" s="237" t="s">
        <v>74</v>
      </c>
      <c r="F79" s="47">
        <v>1617539.6640000001</v>
      </c>
      <c r="G79" s="354" t="s">
        <v>23</v>
      </c>
      <c r="H79" s="354" t="s">
        <v>77</v>
      </c>
      <c r="I79" s="354">
        <v>1399</v>
      </c>
      <c r="J79" s="354" t="s">
        <v>25</v>
      </c>
      <c r="K79" s="48" t="s">
        <v>17</v>
      </c>
      <c r="L79" s="228" t="s">
        <v>3</v>
      </c>
      <c r="M79" s="237"/>
      <c r="N79" s="623" t="s">
        <v>581</v>
      </c>
      <c r="O79" s="236" t="s">
        <v>1833</v>
      </c>
      <c r="P79" s="553"/>
    </row>
    <row r="80" spans="1:19" s="552" customFormat="1" ht="61.5" customHeight="1">
      <c r="A80" s="659">
        <v>74</v>
      </c>
      <c r="B80" s="6" t="s">
        <v>75</v>
      </c>
      <c r="C80" s="237"/>
      <c r="D80" s="196" t="s">
        <v>73</v>
      </c>
      <c r="E80" s="196" t="s">
        <v>142</v>
      </c>
      <c r="F80" s="47">
        <v>1282840</v>
      </c>
      <c r="G80" s="354" t="s">
        <v>23</v>
      </c>
      <c r="H80" s="354" t="s">
        <v>77</v>
      </c>
      <c r="I80" s="354">
        <v>1399</v>
      </c>
      <c r="J80" s="354" t="s">
        <v>25</v>
      </c>
      <c r="K80" s="48"/>
      <c r="L80" s="228" t="s">
        <v>3</v>
      </c>
      <c r="M80" s="237"/>
      <c r="N80" s="623" t="s">
        <v>581</v>
      </c>
      <c r="O80" s="236" t="s">
        <v>1833</v>
      </c>
      <c r="P80" s="553"/>
    </row>
    <row r="81" spans="6:6">
      <c r="F81" s="3"/>
    </row>
    <row r="82" spans="6:6">
      <c r="F82" s="3"/>
    </row>
  </sheetData>
  <mergeCells count="22">
    <mergeCell ref="O5:O6"/>
    <mergeCell ref="P11:P12"/>
    <mergeCell ref="P18:P19"/>
    <mergeCell ref="P26:P28"/>
    <mergeCell ref="C43:C44"/>
    <mergeCell ref="P5:P6"/>
    <mergeCell ref="C54:C77"/>
    <mergeCell ref="P29:P30"/>
    <mergeCell ref="P32:P33"/>
    <mergeCell ref="A1:P4"/>
    <mergeCell ref="A5:A6"/>
    <mergeCell ref="B5:B6"/>
    <mergeCell ref="C5:C6"/>
    <mergeCell ref="D5:D6"/>
    <mergeCell ref="E5:E6"/>
    <mergeCell ref="F5:H5"/>
    <mergeCell ref="I5:I6"/>
    <mergeCell ref="J5:J6"/>
    <mergeCell ref="K5:K6"/>
    <mergeCell ref="L5:M5"/>
    <mergeCell ref="N5:N6"/>
    <mergeCell ref="C45:C49"/>
  </mergeCells>
  <printOptions horizontalCentered="1"/>
  <pageMargins left="0.2" right="0.2" top="0.5" bottom="0.5" header="0.3" footer="0.3"/>
  <pageSetup paperSize="9" scale="43"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sheetPr>
    <tabColor rgb="FF92D050"/>
  </sheetPr>
  <dimension ref="A1:R115"/>
  <sheetViews>
    <sheetView rightToLeft="1" view="pageBreakPreview" zoomScale="78" zoomScaleSheetLayoutView="78" workbookViewId="0">
      <pane xSplit="1" ySplit="6" topLeftCell="B107" activePane="bottomRight" state="frozen"/>
      <selection pane="topRight" activeCell="B1" sqref="B1"/>
      <selection pane="bottomLeft" activeCell="A4" sqref="A4"/>
      <selection pane="bottomRight" activeCell="K114" sqref="K114"/>
    </sheetView>
  </sheetViews>
  <sheetFormatPr defaultColWidth="9.140625" defaultRowHeight="18"/>
  <cols>
    <col min="1" max="1" width="8.5703125" style="202" customWidth="1"/>
    <col min="2" max="2" width="16.42578125" style="199" customWidth="1"/>
    <col min="3" max="3" width="10.85546875" style="202" customWidth="1"/>
    <col min="4" max="4" width="14.42578125" style="198" customWidth="1"/>
    <col min="5" max="5" width="27.28515625" style="199" customWidth="1"/>
    <col min="6" max="6" width="24.140625" style="198" customWidth="1"/>
    <col min="7" max="7" width="11.5703125" style="198" customWidth="1"/>
    <col min="8" max="8" width="11.140625" style="199" customWidth="1"/>
    <col min="9" max="9" width="10.7109375" style="202" customWidth="1"/>
    <col min="10" max="10" width="13.28515625" style="199" customWidth="1"/>
    <col min="11" max="11" width="11.42578125" style="201" customWidth="1"/>
    <col min="12" max="12" width="11.85546875" style="198" customWidth="1"/>
    <col min="13" max="13" width="11.85546875" style="200" customWidth="1"/>
    <col min="14" max="14" width="16.140625" style="282" customWidth="1"/>
    <col min="15" max="15" width="15.140625" style="199" customWidth="1"/>
    <col min="16" max="16" width="21.5703125" style="198" customWidth="1"/>
    <col min="17" max="16384" width="9.140625" style="198"/>
  </cols>
  <sheetData>
    <row r="1" spans="1:16" s="145" customFormat="1" ht="18" customHeight="1">
      <c r="A1" s="888" t="s">
        <v>1982</v>
      </c>
      <c r="B1" s="889"/>
      <c r="C1" s="889"/>
      <c r="D1" s="889"/>
      <c r="E1" s="889"/>
      <c r="F1" s="889"/>
      <c r="G1" s="889"/>
      <c r="H1" s="889"/>
      <c r="I1" s="889"/>
      <c r="J1" s="889"/>
      <c r="K1" s="889"/>
      <c r="L1" s="889"/>
      <c r="M1" s="889"/>
      <c r="N1" s="889"/>
      <c r="O1" s="889"/>
      <c r="P1" s="889"/>
    </row>
    <row r="2" spans="1:16" s="145" customFormat="1" ht="18" customHeight="1">
      <c r="A2" s="889"/>
      <c r="B2" s="889"/>
      <c r="C2" s="889"/>
      <c r="D2" s="889"/>
      <c r="E2" s="889"/>
      <c r="F2" s="889"/>
      <c r="G2" s="889"/>
      <c r="H2" s="889"/>
      <c r="I2" s="889"/>
      <c r="J2" s="889"/>
      <c r="K2" s="889"/>
      <c r="L2" s="889"/>
      <c r="M2" s="889"/>
      <c r="N2" s="889"/>
      <c r="O2" s="889"/>
      <c r="P2" s="889"/>
    </row>
    <row r="3" spans="1:16" s="145" customFormat="1" ht="18" customHeight="1">
      <c r="A3" s="889"/>
      <c r="B3" s="889"/>
      <c r="C3" s="889"/>
      <c r="D3" s="889"/>
      <c r="E3" s="889"/>
      <c r="F3" s="889"/>
      <c r="G3" s="889"/>
      <c r="H3" s="889"/>
      <c r="I3" s="889"/>
      <c r="J3" s="889"/>
      <c r="K3" s="889"/>
      <c r="L3" s="889"/>
      <c r="M3" s="889"/>
      <c r="N3" s="889"/>
      <c r="O3" s="889"/>
      <c r="P3" s="889"/>
    </row>
    <row r="4" spans="1:16" s="145" customFormat="1" ht="18" customHeight="1">
      <c r="A4" s="890"/>
      <c r="B4" s="890"/>
      <c r="C4" s="890"/>
      <c r="D4" s="890"/>
      <c r="E4" s="890"/>
      <c r="F4" s="890"/>
      <c r="G4" s="890"/>
      <c r="H4" s="890"/>
      <c r="I4" s="890"/>
      <c r="J4" s="890"/>
      <c r="K4" s="890"/>
      <c r="L4" s="890"/>
      <c r="M4" s="890"/>
      <c r="N4" s="890"/>
      <c r="O4" s="890"/>
      <c r="P4" s="890"/>
    </row>
    <row r="5" spans="1:16" ht="25.9" customHeight="1">
      <c r="A5" s="792" t="s">
        <v>0</v>
      </c>
      <c r="B5" s="792" t="s">
        <v>14</v>
      </c>
      <c r="C5" s="792" t="s">
        <v>449</v>
      </c>
      <c r="D5" s="792" t="s">
        <v>1</v>
      </c>
      <c r="E5" s="810" t="s">
        <v>15</v>
      </c>
      <c r="F5" s="792" t="s">
        <v>9</v>
      </c>
      <c r="G5" s="792"/>
      <c r="H5" s="792" t="s">
        <v>12</v>
      </c>
      <c r="I5" s="792" t="s">
        <v>7</v>
      </c>
      <c r="J5" s="792" t="s">
        <v>6</v>
      </c>
      <c r="K5" s="811" t="s">
        <v>16</v>
      </c>
      <c r="L5" s="792" t="s">
        <v>2</v>
      </c>
      <c r="M5" s="792"/>
      <c r="N5" s="829" t="s">
        <v>5</v>
      </c>
      <c r="O5" s="792" t="s">
        <v>13</v>
      </c>
      <c r="P5" s="792" t="s">
        <v>8</v>
      </c>
    </row>
    <row r="6" spans="1:16" ht="36" customHeight="1">
      <c r="A6" s="792"/>
      <c r="B6" s="792"/>
      <c r="C6" s="792"/>
      <c r="D6" s="792"/>
      <c r="E6" s="810"/>
      <c r="F6" s="148" t="s">
        <v>10</v>
      </c>
      <c r="G6" s="148" t="s">
        <v>11</v>
      </c>
      <c r="H6" s="792"/>
      <c r="I6" s="792"/>
      <c r="J6" s="792"/>
      <c r="K6" s="811"/>
      <c r="L6" s="148" t="s">
        <v>3</v>
      </c>
      <c r="M6" s="71" t="s">
        <v>4</v>
      </c>
      <c r="N6" s="829"/>
      <c r="O6" s="792"/>
      <c r="P6" s="792"/>
    </row>
    <row r="7" spans="1:16" s="605" customFormat="1" ht="47.25" customHeight="1">
      <c r="A7" s="578">
        <v>1</v>
      </c>
      <c r="B7" s="354" t="s">
        <v>75</v>
      </c>
      <c r="C7" s="354"/>
      <c r="D7" s="612" t="s">
        <v>1527</v>
      </c>
      <c r="E7" s="164" t="s">
        <v>1630</v>
      </c>
      <c r="F7" s="205">
        <v>50000</v>
      </c>
      <c r="G7" s="354" t="s">
        <v>23</v>
      </c>
      <c r="H7" s="354" t="s">
        <v>77</v>
      </c>
      <c r="I7" s="354">
        <v>1399</v>
      </c>
      <c r="J7" s="354" t="s">
        <v>25</v>
      </c>
      <c r="K7" s="163">
        <v>1</v>
      </c>
      <c r="L7" s="354"/>
      <c r="M7" s="571" t="s">
        <v>33</v>
      </c>
      <c r="N7" s="43"/>
      <c r="O7" s="354"/>
      <c r="P7" s="179"/>
    </row>
    <row r="8" spans="1:16" s="605" customFormat="1" ht="32.25" customHeight="1">
      <c r="A8" s="578">
        <v>2</v>
      </c>
      <c r="B8" s="354" t="s">
        <v>75</v>
      </c>
      <c r="C8" s="354"/>
      <c r="D8" s="612" t="s">
        <v>1527</v>
      </c>
      <c r="E8" s="164" t="s">
        <v>1548</v>
      </c>
      <c r="F8" s="205">
        <v>40000</v>
      </c>
      <c r="G8" s="354" t="s">
        <v>23</v>
      </c>
      <c r="H8" s="354" t="s">
        <v>77</v>
      </c>
      <c r="I8" s="354">
        <v>1399</v>
      </c>
      <c r="J8" s="354" t="s">
        <v>25</v>
      </c>
      <c r="K8" s="163">
        <v>1</v>
      </c>
      <c r="L8" s="354"/>
      <c r="M8" s="571" t="s">
        <v>33</v>
      </c>
      <c r="N8" s="43"/>
      <c r="O8" s="354"/>
      <c r="P8" s="613"/>
    </row>
    <row r="9" spans="1:16" s="605" customFormat="1" ht="54">
      <c r="A9" s="587">
        <v>3</v>
      </c>
      <c r="B9" s="354" t="s">
        <v>75</v>
      </c>
      <c r="C9" s="354"/>
      <c r="D9" s="612" t="s">
        <v>1527</v>
      </c>
      <c r="E9" s="164" t="s">
        <v>1631</v>
      </c>
      <c r="F9" s="205">
        <v>315000</v>
      </c>
      <c r="G9" s="354" t="s">
        <v>23</v>
      </c>
      <c r="H9" s="354" t="s">
        <v>77</v>
      </c>
      <c r="I9" s="354">
        <v>1399</v>
      </c>
      <c r="J9" s="354" t="s">
        <v>25</v>
      </c>
      <c r="K9" s="163" t="s">
        <v>17</v>
      </c>
      <c r="L9" s="354" t="s">
        <v>3</v>
      </c>
      <c r="M9" s="571" t="s">
        <v>17</v>
      </c>
      <c r="N9" s="614" t="s">
        <v>1777</v>
      </c>
      <c r="O9" s="354" t="s">
        <v>1853</v>
      </c>
      <c r="P9" s="613" t="s">
        <v>17</v>
      </c>
    </row>
    <row r="10" spans="1:16" s="605" customFormat="1" ht="47.25" customHeight="1">
      <c r="A10" s="587">
        <v>4</v>
      </c>
      <c r="B10" s="354" t="s">
        <v>75</v>
      </c>
      <c r="C10" s="354"/>
      <c r="D10" s="612" t="s">
        <v>1527</v>
      </c>
      <c r="E10" s="164" t="s">
        <v>1550</v>
      </c>
      <c r="F10" s="205">
        <v>250000</v>
      </c>
      <c r="G10" s="354" t="s">
        <v>23</v>
      </c>
      <c r="H10" s="354" t="s">
        <v>77</v>
      </c>
      <c r="I10" s="354">
        <v>1399</v>
      </c>
      <c r="J10" s="354" t="s">
        <v>25</v>
      </c>
      <c r="K10" s="163" t="s">
        <v>17</v>
      </c>
      <c r="L10" s="354" t="s">
        <v>3</v>
      </c>
      <c r="M10" s="571" t="s">
        <v>17</v>
      </c>
      <c r="N10" s="614" t="s">
        <v>1777</v>
      </c>
      <c r="O10" s="354" t="s">
        <v>1853</v>
      </c>
      <c r="P10" s="179"/>
    </row>
    <row r="11" spans="1:16" s="605" customFormat="1" ht="54">
      <c r="A11" s="587">
        <v>5</v>
      </c>
      <c r="B11" s="354" t="s">
        <v>75</v>
      </c>
      <c r="C11" s="354"/>
      <c r="D11" s="612" t="s">
        <v>1527</v>
      </c>
      <c r="E11" s="615" t="s">
        <v>1551</v>
      </c>
      <c r="F11" s="205">
        <v>1250000</v>
      </c>
      <c r="G11" s="354" t="s">
        <v>23</v>
      </c>
      <c r="H11" s="354" t="s">
        <v>77</v>
      </c>
      <c r="I11" s="354">
        <v>1399</v>
      </c>
      <c r="J11" s="354" t="s">
        <v>25</v>
      </c>
      <c r="K11" s="163" t="s">
        <v>17</v>
      </c>
      <c r="L11" s="354" t="s">
        <v>3</v>
      </c>
      <c r="M11" s="571"/>
      <c r="N11" s="614" t="s">
        <v>1777</v>
      </c>
      <c r="O11" s="354" t="s">
        <v>1853</v>
      </c>
      <c r="P11" s="613"/>
    </row>
    <row r="12" spans="1:16" s="605" customFormat="1" ht="54">
      <c r="A12" s="587">
        <v>6</v>
      </c>
      <c r="B12" s="354" t="s">
        <v>75</v>
      </c>
      <c r="C12" s="354"/>
      <c r="D12" s="612" t="s">
        <v>1527</v>
      </c>
      <c r="E12" s="164" t="s">
        <v>1552</v>
      </c>
      <c r="F12" s="205">
        <v>1250000</v>
      </c>
      <c r="G12" s="354" t="s">
        <v>23</v>
      </c>
      <c r="H12" s="354" t="s">
        <v>77</v>
      </c>
      <c r="I12" s="354">
        <v>1399</v>
      </c>
      <c r="J12" s="354" t="s">
        <v>25</v>
      </c>
      <c r="K12" s="163" t="s">
        <v>17</v>
      </c>
      <c r="L12" s="354" t="s">
        <v>3</v>
      </c>
      <c r="M12" s="571"/>
      <c r="N12" s="614" t="s">
        <v>1777</v>
      </c>
      <c r="O12" s="354" t="s">
        <v>1853</v>
      </c>
      <c r="P12" s="613"/>
    </row>
    <row r="13" spans="1:16" s="605" customFormat="1" ht="63">
      <c r="A13" s="587">
        <v>7</v>
      </c>
      <c r="B13" s="616" t="s">
        <v>75</v>
      </c>
      <c r="C13" s="616"/>
      <c r="D13" s="217" t="s">
        <v>1527</v>
      </c>
      <c r="E13" s="617" t="s">
        <v>1778</v>
      </c>
      <c r="F13" s="618">
        <v>2400000</v>
      </c>
      <c r="G13" s="616" t="s">
        <v>23</v>
      </c>
      <c r="H13" s="616" t="s">
        <v>77</v>
      </c>
      <c r="I13" s="616">
        <v>1399</v>
      </c>
      <c r="J13" s="616" t="s">
        <v>25</v>
      </c>
      <c r="K13" s="619" t="s">
        <v>17</v>
      </c>
      <c r="L13" s="354" t="s">
        <v>3</v>
      </c>
      <c r="M13" s="217"/>
      <c r="N13" s="614" t="s">
        <v>1777</v>
      </c>
      <c r="O13" s="354" t="s">
        <v>1853</v>
      </c>
      <c r="P13" s="613"/>
    </row>
    <row r="14" spans="1:16" s="605" customFormat="1" ht="47.25" customHeight="1">
      <c r="A14" s="587">
        <v>8</v>
      </c>
      <c r="B14" s="354" t="s">
        <v>75</v>
      </c>
      <c r="C14" s="354"/>
      <c r="D14" s="612" t="s">
        <v>1527</v>
      </c>
      <c r="E14" s="164" t="s">
        <v>1554</v>
      </c>
      <c r="F14" s="205">
        <v>3000000</v>
      </c>
      <c r="G14" s="354" t="s">
        <v>23</v>
      </c>
      <c r="H14" s="354" t="s">
        <v>77</v>
      </c>
      <c r="I14" s="354">
        <v>1399</v>
      </c>
      <c r="J14" s="354" t="s">
        <v>25</v>
      </c>
      <c r="K14" s="60">
        <v>1</v>
      </c>
      <c r="L14" s="354"/>
      <c r="M14" s="571" t="s">
        <v>33</v>
      </c>
      <c r="N14" s="43"/>
      <c r="O14" s="354"/>
      <c r="P14" s="179"/>
    </row>
    <row r="15" spans="1:16" s="605" customFormat="1" ht="47.25" customHeight="1">
      <c r="A15" s="587">
        <v>9</v>
      </c>
      <c r="B15" s="354" t="s">
        <v>75</v>
      </c>
      <c r="C15" s="354"/>
      <c r="D15" s="612" t="s">
        <v>1527</v>
      </c>
      <c r="E15" s="164" t="s">
        <v>1555</v>
      </c>
      <c r="F15" s="205">
        <v>200000</v>
      </c>
      <c r="G15" s="354" t="s">
        <v>23</v>
      </c>
      <c r="H15" s="354" t="s">
        <v>77</v>
      </c>
      <c r="I15" s="354">
        <v>1399</v>
      </c>
      <c r="J15" s="354" t="s">
        <v>25</v>
      </c>
      <c r="K15" s="60">
        <v>1</v>
      </c>
      <c r="L15" s="354"/>
      <c r="M15" s="691" t="s">
        <v>33</v>
      </c>
      <c r="N15" s="43"/>
      <c r="O15" s="354"/>
      <c r="P15" s="179"/>
    </row>
    <row r="16" spans="1:16" s="605" customFormat="1" ht="47.25" customHeight="1">
      <c r="A16" s="587">
        <v>10</v>
      </c>
      <c r="B16" s="354" t="s">
        <v>75</v>
      </c>
      <c r="C16" s="354"/>
      <c r="D16" s="612" t="s">
        <v>1527</v>
      </c>
      <c r="E16" s="164" t="s">
        <v>1779</v>
      </c>
      <c r="F16" s="205">
        <v>60000</v>
      </c>
      <c r="G16" s="354" t="s">
        <v>23</v>
      </c>
      <c r="H16" s="354" t="s">
        <v>77</v>
      </c>
      <c r="I16" s="354">
        <v>1399</v>
      </c>
      <c r="J16" s="354" t="s">
        <v>25</v>
      </c>
      <c r="K16" s="60">
        <v>1</v>
      </c>
      <c r="L16" s="354"/>
      <c r="M16" s="691" t="s">
        <v>33</v>
      </c>
      <c r="N16" s="43"/>
      <c r="O16" s="354"/>
      <c r="P16" s="179"/>
    </row>
    <row r="17" spans="1:16" s="605" customFormat="1" ht="47.25" customHeight="1">
      <c r="A17" s="587">
        <v>11</v>
      </c>
      <c r="B17" s="354" t="s">
        <v>75</v>
      </c>
      <c r="C17" s="354" t="s">
        <v>1780</v>
      </c>
      <c r="D17" s="571" t="s">
        <v>320</v>
      </c>
      <c r="E17" s="620" t="s">
        <v>321</v>
      </c>
      <c r="F17" s="205">
        <v>123000</v>
      </c>
      <c r="G17" s="354" t="s">
        <v>23</v>
      </c>
      <c r="H17" s="354" t="s">
        <v>77</v>
      </c>
      <c r="I17" s="354">
        <v>1399</v>
      </c>
      <c r="J17" s="354" t="s">
        <v>25</v>
      </c>
      <c r="K17" s="60">
        <v>1</v>
      </c>
      <c r="L17" s="354"/>
      <c r="M17" s="691" t="s">
        <v>33</v>
      </c>
      <c r="N17" s="43"/>
      <c r="O17" s="354"/>
      <c r="P17" s="179"/>
    </row>
    <row r="18" spans="1:16" s="605" customFormat="1" ht="47.25" customHeight="1">
      <c r="A18" s="587">
        <v>12</v>
      </c>
      <c r="B18" s="354" t="s">
        <v>75</v>
      </c>
      <c r="C18" s="354" t="s">
        <v>1780</v>
      </c>
      <c r="D18" s="571" t="s">
        <v>320</v>
      </c>
      <c r="E18" s="620" t="s">
        <v>1529</v>
      </c>
      <c r="F18" s="205">
        <v>412000</v>
      </c>
      <c r="G18" s="354" t="s">
        <v>23</v>
      </c>
      <c r="H18" s="354" t="s">
        <v>77</v>
      </c>
      <c r="I18" s="354">
        <v>1399</v>
      </c>
      <c r="J18" s="354" t="s">
        <v>25</v>
      </c>
      <c r="K18" s="60">
        <v>1</v>
      </c>
      <c r="L18" s="354"/>
      <c r="M18" s="691" t="s">
        <v>33</v>
      </c>
      <c r="N18" s="43"/>
      <c r="O18" s="354"/>
      <c r="P18" s="179"/>
    </row>
    <row r="19" spans="1:16" s="605" customFormat="1" ht="47.25" customHeight="1">
      <c r="A19" s="587">
        <v>13</v>
      </c>
      <c r="B19" s="354" t="s">
        <v>75</v>
      </c>
      <c r="C19" s="354" t="s">
        <v>1780</v>
      </c>
      <c r="D19" s="571" t="s">
        <v>320</v>
      </c>
      <c r="E19" s="620" t="s">
        <v>1530</v>
      </c>
      <c r="F19" s="205">
        <v>2236000</v>
      </c>
      <c r="G19" s="354" t="s">
        <v>23</v>
      </c>
      <c r="H19" s="354" t="s">
        <v>77</v>
      </c>
      <c r="I19" s="354">
        <v>1399</v>
      </c>
      <c r="J19" s="354" t="s">
        <v>25</v>
      </c>
      <c r="K19" s="60">
        <v>1</v>
      </c>
      <c r="L19" s="354"/>
      <c r="M19" s="691" t="s">
        <v>33</v>
      </c>
      <c r="N19" s="43"/>
      <c r="O19" s="354"/>
      <c r="P19" s="613" t="s">
        <v>17</v>
      </c>
    </row>
    <row r="20" spans="1:16" s="605" customFormat="1" ht="47.25" customHeight="1">
      <c r="A20" s="587">
        <v>14</v>
      </c>
      <c r="B20" s="354" t="s">
        <v>75</v>
      </c>
      <c r="C20" s="354" t="s">
        <v>1780</v>
      </c>
      <c r="D20" s="571" t="s">
        <v>320</v>
      </c>
      <c r="E20" s="620" t="s">
        <v>1531</v>
      </c>
      <c r="F20" s="205">
        <v>1000000</v>
      </c>
      <c r="G20" s="354" t="s">
        <v>23</v>
      </c>
      <c r="H20" s="354" t="s">
        <v>77</v>
      </c>
      <c r="I20" s="354">
        <v>1399</v>
      </c>
      <c r="J20" s="354" t="s">
        <v>25</v>
      </c>
      <c r="K20" s="60">
        <v>1</v>
      </c>
      <c r="L20" s="354" t="s">
        <v>17</v>
      </c>
      <c r="M20" s="691" t="s">
        <v>33</v>
      </c>
      <c r="N20" s="43" t="s">
        <v>17</v>
      </c>
      <c r="O20" s="354"/>
      <c r="P20" s="179"/>
    </row>
    <row r="21" spans="1:16" s="605" customFormat="1" ht="47.25" customHeight="1">
      <c r="A21" s="587">
        <v>15</v>
      </c>
      <c r="B21" s="354" t="s">
        <v>75</v>
      </c>
      <c r="C21" s="354" t="s">
        <v>1780</v>
      </c>
      <c r="D21" s="571" t="s">
        <v>320</v>
      </c>
      <c r="E21" s="620" t="s">
        <v>1532</v>
      </c>
      <c r="F21" s="205">
        <v>1538000</v>
      </c>
      <c r="G21" s="354" t="s">
        <v>23</v>
      </c>
      <c r="H21" s="354" t="s">
        <v>77</v>
      </c>
      <c r="I21" s="354">
        <v>1399</v>
      </c>
      <c r="J21" s="354" t="s">
        <v>25</v>
      </c>
      <c r="K21" s="60">
        <v>1</v>
      </c>
      <c r="L21" s="354"/>
      <c r="M21" s="691" t="s">
        <v>33</v>
      </c>
      <c r="N21" s="43"/>
      <c r="O21" s="354"/>
      <c r="P21" s="613" t="s">
        <v>17</v>
      </c>
    </row>
    <row r="22" spans="1:16" s="605" customFormat="1" ht="78" customHeight="1">
      <c r="A22" s="587">
        <v>16</v>
      </c>
      <c r="B22" s="354" t="s">
        <v>75</v>
      </c>
      <c r="C22" s="354" t="s">
        <v>1780</v>
      </c>
      <c r="D22" s="571" t="s">
        <v>320</v>
      </c>
      <c r="E22" s="164" t="s">
        <v>322</v>
      </c>
      <c r="F22" s="205">
        <v>72000</v>
      </c>
      <c r="G22" s="354" t="s">
        <v>23</v>
      </c>
      <c r="H22" s="354" t="s">
        <v>77</v>
      </c>
      <c r="I22" s="354">
        <v>1399</v>
      </c>
      <c r="J22" s="354" t="s">
        <v>25</v>
      </c>
      <c r="K22" s="60">
        <v>1</v>
      </c>
      <c r="L22" s="354"/>
      <c r="M22" s="691" t="s">
        <v>33</v>
      </c>
      <c r="N22" s="43"/>
      <c r="O22" s="354"/>
      <c r="P22" s="613" t="s">
        <v>17</v>
      </c>
    </row>
    <row r="23" spans="1:16" ht="36">
      <c r="A23" s="587">
        <v>17</v>
      </c>
      <c r="B23" s="578" t="s">
        <v>75</v>
      </c>
      <c r="C23" s="578" t="s">
        <v>1781</v>
      </c>
      <c r="D23" s="571" t="s">
        <v>1610</v>
      </c>
      <c r="E23" s="164" t="s">
        <v>1782</v>
      </c>
      <c r="F23" s="205">
        <v>6041492</v>
      </c>
      <c r="G23" s="354" t="s">
        <v>23</v>
      </c>
      <c r="H23" s="354" t="s">
        <v>77</v>
      </c>
      <c r="I23" s="354">
        <v>1399</v>
      </c>
      <c r="J23" s="354" t="s">
        <v>25</v>
      </c>
      <c r="K23" s="60">
        <v>1</v>
      </c>
      <c r="L23" s="354"/>
      <c r="M23" s="691" t="s">
        <v>33</v>
      </c>
      <c r="N23" s="43"/>
      <c r="O23" s="354"/>
      <c r="P23" s="179"/>
    </row>
    <row r="24" spans="1:16" ht="36">
      <c r="A24" s="587">
        <v>18</v>
      </c>
      <c r="B24" s="578" t="s">
        <v>75</v>
      </c>
      <c r="C24" s="578" t="s">
        <v>1781</v>
      </c>
      <c r="D24" s="571" t="s">
        <v>1610</v>
      </c>
      <c r="E24" s="164" t="s">
        <v>1783</v>
      </c>
      <c r="F24" s="205">
        <v>975024</v>
      </c>
      <c r="G24" s="354" t="s">
        <v>23</v>
      </c>
      <c r="H24" s="354" t="s">
        <v>77</v>
      </c>
      <c r="I24" s="354">
        <v>1399</v>
      </c>
      <c r="J24" s="354" t="s">
        <v>25</v>
      </c>
      <c r="K24" s="60">
        <v>1</v>
      </c>
      <c r="L24" s="354" t="s">
        <v>17</v>
      </c>
      <c r="M24" s="691" t="s">
        <v>33</v>
      </c>
      <c r="N24" s="43"/>
      <c r="O24" s="354"/>
      <c r="P24" s="179"/>
    </row>
    <row r="25" spans="1:16" s="216" customFormat="1" ht="57" customHeight="1">
      <c r="A25" s="587">
        <v>19</v>
      </c>
      <c r="B25" s="83" t="s">
        <v>75</v>
      </c>
      <c r="C25" s="83"/>
      <c r="D25" s="21" t="s">
        <v>21</v>
      </c>
      <c r="E25" s="164" t="s">
        <v>240</v>
      </c>
      <c r="F25" s="205">
        <v>1920000</v>
      </c>
      <c r="G25" s="83" t="s">
        <v>23</v>
      </c>
      <c r="H25" s="83" t="s">
        <v>77</v>
      </c>
      <c r="I25" s="83">
        <v>1399</v>
      </c>
      <c r="J25" s="83" t="s">
        <v>25</v>
      </c>
      <c r="K25" s="60">
        <v>1</v>
      </c>
      <c r="L25" s="83"/>
      <c r="M25" s="691" t="s">
        <v>33</v>
      </c>
      <c r="N25" s="43"/>
      <c r="O25" s="21"/>
      <c r="P25" s="21"/>
    </row>
    <row r="26" spans="1:16" s="216" customFormat="1" ht="69.599999999999994" customHeight="1">
      <c r="A26" s="587">
        <v>20</v>
      </c>
      <c r="B26" s="83" t="s">
        <v>75</v>
      </c>
      <c r="C26" s="83"/>
      <c r="D26" s="21" t="s">
        <v>21</v>
      </c>
      <c r="E26" s="164" t="s">
        <v>448</v>
      </c>
      <c r="F26" s="205">
        <v>67000</v>
      </c>
      <c r="G26" s="83" t="s">
        <v>23</v>
      </c>
      <c r="H26" s="83" t="s">
        <v>77</v>
      </c>
      <c r="I26" s="83">
        <v>1399</v>
      </c>
      <c r="J26" s="83" t="s">
        <v>25</v>
      </c>
      <c r="K26" s="60">
        <v>1</v>
      </c>
      <c r="L26" s="83"/>
      <c r="M26" s="691" t="s">
        <v>33</v>
      </c>
      <c r="N26" s="43"/>
      <c r="O26" s="21"/>
      <c r="P26" s="21"/>
    </row>
    <row r="27" spans="1:16" s="216" customFormat="1" ht="42.75" customHeight="1">
      <c r="A27" s="587">
        <v>21</v>
      </c>
      <c r="B27" s="83" t="s">
        <v>75</v>
      </c>
      <c r="C27" s="83"/>
      <c r="D27" s="21" t="s">
        <v>21</v>
      </c>
      <c r="E27" s="164" t="s">
        <v>26</v>
      </c>
      <c r="F27" s="205">
        <v>202500</v>
      </c>
      <c r="G27" s="83" t="s">
        <v>23</v>
      </c>
      <c r="H27" s="83" t="s">
        <v>77</v>
      </c>
      <c r="I27" s="83">
        <v>1399</v>
      </c>
      <c r="J27" s="83" t="s">
        <v>25</v>
      </c>
      <c r="K27" s="60">
        <v>1</v>
      </c>
      <c r="L27" s="208"/>
      <c r="M27" s="21" t="s">
        <v>387</v>
      </c>
      <c r="N27" s="276"/>
      <c r="O27" s="21"/>
      <c r="P27" s="21"/>
    </row>
    <row r="28" spans="1:16" s="216" customFormat="1" ht="63.75" customHeight="1">
      <c r="A28" s="587">
        <v>22</v>
      </c>
      <c r="B28" s="83" t="s">
        <v>75</v>
      </c>
      <c r="C28" s="83"/>
      <c r="D28" s="21" t="s">
        <v>21</v>
      </c>
      <c r="E28" s="164" t="s">
        <v>27</v>
      </c>
      <c r="F28" s="205">
        <v>30000</v>
      </c>
      <c r="G28" s="83" t="s">
        <v>23</v>
      </c>
      <c r="H28" s="83" t="s">
        <v>77</v>
      </c>
      <c r="I28" s="83">
        <v>1399</v>
      </c>
      <c r="J28" s="83" t="s">
        <v>25</v>
      </c>
      <c r="K28" s="60">
        <v>1</v>
      </c>
      <c r="L28" s="208"/>
      <c r="M28" s="21" t="s">
        <v>33</v>
      </c>
      <c r="N28" s="276"/>
      <c r="O28" s="21"/>
      <c r="P28" s="21" t="s">
        <v>17</v>
      </c>
    </row>
    <row r="29" spans="1:16" s="216" customFormat="1" ht="63.75" customHeight="1">
      <c r="A29" s="587">
        <v>23</v>
      </c>
      <c r="B29" s="354" t="s">
        <v>75</v>
      </c>
      <c r="C29" s="354"/>
      <c r="D29" s="446" t="s">
        <v>28</v>
      </c>
      <c r="E29" s="164" t="s">
        <v>998</v>
      </c>
      <c r="F29" s="205">
        <v>1116200</v>
      </c>
      <c r="G29" s="354" t="s">
        <v>23</v>
      </c>
      <c r="H29" s="354" t="s">
        <v>77</v>
      </c>
      <c r="I29" s="354">
        <v>1399</v>
      </c>
      <c r="J29" s="354" t="s">
        <v>25</v>
      </c>
      <c r="K29" s="60">
        <v>1</v>
      </c>
      <c r="L29" s="208"/>
      <c r="M29" s="446" t="s">
        <v>33</v>
      </c>
      <c r="N29" s="276"/>
      <c r="O29" s="446"/>
      <c r="P29" s="446"/>
    </row>
    <row r="30" spans="1:16" s="216" customFormat="1" ht="45" customHeight="1">
      <c r="A30" s="587">
        <v>24</v>
      </c>
      <c r="B30" s="83" t="s">
        <v>75</v>
      </c>
      <c r="C30" s="83"/>
      <c r="D30" s="21" t="s">
        <v>28</v>
      </c>
      <c r="E30" s="164" t="s">
        <v>447</v>
      </c>
      <c r="F30" s="205">
        <v>14700000</v>
      </c>
      <c r="G30" s="83" t="s">
        <v>23</v>
      </c>
      <c r="H30" s="83" t="s">
        <v>77</v>
      </c>
      <c r="I30" s="83">
        <v>1399</v>
      </c>
      <c r="J30" s="83" t="s">
        <v>25</v>
      </c>
      <c r="K30" s="60">
        <v>1</v>
      </c>
      <c r="L30" s="83"/>
      <c r="M30" s="691" t="s">
        <v>33</v>
      </c>
      <c r="N30" s="43"/>
      <c r="O30" s="21"/>
      <c r="P30" s="21"/>
    </row>
    <row r="31" spans="1:16" s="216" customFormat="1" ht="126">
      <c r="A31" s="587">
        <v>25</v>
      </c>
      <c r="B31" s="83" t="s">
        <v>75</v>
      </c>
      <c r="C31" s="83"/>
      <c r="D31" s="21" t="s">
        <v>28</v>
      </c>
      <c r="E31" s="164" t="s">
        <v>29</v>
      </c>
      <c r="F31" s="205">
        <v>180000</v>
      </c>
      <c r="G31" s="83" t="s">
        <v>23</v>
      </c>
      <c r="H31" s="83" t="s">
        <v>77</v>
      </c>
      <c r="I31" s="83">
        <v>1399</v>
      </c>
      <c r="J31" s="83" t="s">
        <v>25</v>
      </c>
      <c r="K31" s="209">
        <v>1</v>
      </c>
      <c r="L31" s="208"/>
      <c r="M31" s="691" t="s">
        <v>33</v>
      </c>
      <c r="N31" s="276"/>
      <c r="O31" s="21"/>
      <c r="P31" s="21"/>
    </row>
    <row r="32" spans="1:16" s="216" customFormat="1" ht="126">
      <c r="A32" s="587">
        <v>26</v>
      </c>
      <c r="B32" s="83" t="s">
        <v>75</v>
      </c>
      <c r="C32" s="83"/>
      <c r="D32" s="21" t="s">
        <v>28</v>
      </c>
      <c r="E32" s="164" t="s">
        <v>99</v>
      </c>
      <c r="F32" s="205">
        <v>62250</v>
      </c>
      <c r="G32" s="83" t="s">
        <v>23</v>
      </c>
      <c r="H32" s="83" t="s">
        <v>77</v>
      </c>
      <c r="I32" s="83">
        <v>1399</v>
      </c>
      <c r="J32" s="83" t="s">
        <v>25</v>
      </c>
      <c r="K32" s="209">
        <v>1</v>
      </c>
      <c r="L32" s="208"/>
      <c r="M32" s="691" t="s">
        <v>33</v>
      </c>
      <c r="N32" s="276"/>
      <c r="O32" s="21"/>
      <c r="P32" s="21"/>
    </row>
    <row r="33" spans="1:16" s="216" customFormat="1" ht="69.75" customHeight="1">
      <c r="A33" s="587">
        <v>27</v>
      </c>
      <c r="B33" s="83" t="s">
        <v>75</v>
      </c>
      <c r="C33" s="83"/>
      <c r="D33" s="21" t="s">
        <v>31</v>
      </c>
      <c r="E33" s="349" t="s">
        <v>80</v>
      </c>
      <c r="F33" s="140">
        <v>639500</v>
      </c>
      <c r="G33" s="351" t="s">
        <v>23</v>
      </c>
      <c r="H33" s="351" t="s">
        <v>77</v>
      </c>
      <c r="I33" s="351">
        <v>1399</v>
      </c>
      <c r="J33" s="351" t="s">
        <v>25</v>
      </c>
      <c r="K33" s="209">
        <v>1</v>
      </c>
      <c r="L33" s="397"/>
      <c r="M33" s="691" t="s">
        <v>33</v>
      </c>
      <c r="N33" s="410"/>
      <c r="O33" s="86"/>
      <c r="P33" s="398"/>
    </row>
    <row r="34" spans="1:16" s="216" customFormat="1" ht="77.25" customHeight="1">
      <c r="A34" s="587">
        <v>28</v>
      </c>
      <c r="B34" s="83" t="s">
        <v>75</v>
      </c>
      <c r="C34" s="83"/>
      <c r="D34" s="21" t="s">
        <v>31</v>
      </c>
      <c r="E34" s="349" t="s">
        <v>34</v>
      </c>
      <c r="F34" s="140">
        <v>569047</v>
      </c>
      <c r="G34" s="351" t="s">
        <v>23</v>
      </c>
      <c r="H34" s="351" t="s">
        <v>77</v>
      </c>
      <c r="I34" s="351">
        <v>1399</v>
      </c>
      <c r="J34" s="351" t="s">
        <v>25</v>
      </c>
      <c r="K34" s="209">
        <v>1</v>
      </c>
      <c r="L34" s="397"/>
      <c r="M34" s="691" t="s">
        <v>33</v>
      </c>
      <c r="N34" s="410"/>
      <c r="O34" s="86"/>
      <c r="P34" s="86"/>
    </row>
    <row r="35" spans="1:16" s="216" customFormat="1" ht="54">
      <c r="A35" s="587">
        <v>29</v>
      </c>
      <c r="B35" s="83" t="s">
        <v>75</v>
      </c>
      <c r="C35" s="83"/>
      <c r="D35" s="21" t="s">
        <v>31</v>
      </c>
      <c r="E35" s="349" t="s">
        <v>32</v>
      </c>
      <c r="F35" s="140">
        <v>418880</v>
      </c>
      <c r="G35" s="351" t="s">
        <v>23</v>
      </c>
      <c r="H35" s="351" t="s">
        <v>77</v>
      </c>
      <c r="I35" s="351">
        <v>1399</v>
      </c>
      <c r="J35" s="351" t="s">
        <v>25</v>
      </c>
      <c r="K35" s="209">
        <v>1</v>
      </c>
      <c r="L35" s="397"/>
      <c r="M35" s="691" t="s">
        <v>33</v>
      </c>
      <c r="N35" s="410"/>
      <c r="O35" s="86"/>
      <c r="P35" s="398"/>
    </row>
    <row r="36" spans="1:16" s="216" customFormat="1" ht="45.75" customHeight="1">
      <c r="A36" s="587">
        <v>30</v>
      </c>
      <c r="B36" s="83" t="s">
        <v>75</v>
      </c>
      <c r="C36" s="83" t="s">
        <v>184</v>
      </c>
      <c r="D36" s="21" t="s">
        <v>31</v>
      </c>
      <c r="E36" s="164" t="s">
        <v>248</v>
      </c>
      <c r="F36" s="205">
        <v>10035000</v>
      </c>
      <c r="G36" s="83" t="s">
        <v>23</v>
      </c>
      <c r="H36" s="83" t="s">
        <v>77</v>
      </c>
      <c r="I36" s="83">
        <v>1399</v>
      </c>
      <c r="J36" s="83" t="s">
        <v>25</v>
      </c>
      <c r="K36" s="209">
        <v>0.8</v>
      </c>
      <c r="L36" s="208"/>
      <c r="M36" s="691" t="s">
        <v>33</v>
      </c>
      <c r="N36" s="276"/>
      <c r="O36" s="21"/>
      <c r="P36" s="21"/>
    </row>
    <row r="37" spans="1:16" ht="45" customHeight="1">
      <c r="A37" s="587">
        <v>31</v>
      </c>
      <c r="B37" s="83" t="s">
        <v>75</v>
      </c>
      <c r="C37" s="83"/>
      <c r="D37" s="21" t="s">
        <v>40</v>
      </c>
      <c r="E37" s="164" t="s">
        <v>446</v>
      </c>
      <c r="F37" s="205">
        <f>3*1413600</f>
        <v>4240800</v>
      </c>
      <c r="G37" s="83" t="s">
        <v>23</v>
      </c>
      <c r="H37" s="83" t="s">
        <v>41</v>
      </c>
      <c r="I37" s="83">
        <v>1399</v>
      </c>
      <c r="J37" s="83" t="s">
        <v>25</v>
      </c>
      <c r="K37" s="209">
        <v>1</v>
      </c>
      <c r="L37" s="208"/>
      <c r="M37" s="691" t="s">
        <v>33</v>
      </c>
      <c r="N37" s="276"/>
      <c r="O37" s="214"/>
      <c r="P37" s="21"/>
    </row>
    <row r="38" spans="1:16" ht="54">
      <c r="A38" s="587">
        <v>32</v>
      </c>
      <c r="B38" s="83" t="s">
        <v>75</v>
      </c>
      <c r="C38" s="83"/>
      <c r="D38" s="21" t="s">
        <v>40</v>
      </c>
      <c r="E38" s="164" t="s">
        <v>445</v>
      </c>
      <c r="F38" s="205">
        <f>130* 58032</f>
        <v>7544160</v>
      </c>
      <c r="G38" s="83" t="s">
        <v>23</v>
      </c>
      <c r="H38" s="83" t="s">
        <v>41</v>
      </c>
      <c r="I38" s="83">
        <v>1399</v>
      </c>
      <c r="J38" s="83" t="s">
        <v>25</v>
      </c>
      <c r="K38" s="209">
        <v>1</v>
      </c>
      <c r="L38" s="208"/>
      <c r="M38" s="691" t="s">
        <v>33</v>
      </c>
      <c r="N38" s="276"/>
      <c r="O38" s="21"/>
      <c r="P38" s="21"/>
    </row>
    <row r="39" spans="1:16" ht="54">
      <c r="A39" s="587">
        <v>33</v>
      </c>
      <c r="B39" s="83" t="s">
        <v>75</v>
      </c>
      <c r="C39" s="83"/>
      <c r="D39" s="21" t="s">
        <v>40</v>
      </c>
      <c r="E39" s="164" t="s">
        <v>444</v>
      </c>
      <c r="F39" s="21" t="s">
        <v>17</v>
      </c>
      <c r="G39" s="83" t="s">
        <v>17</v>
      </c>
      <c r="H39" s="83" t="s">
        <v>17</v>
      </c>
      <c r="I39" s="83">
        <v>1399</v>
      </c>
      <c r="J39" s="83" t="s">
        <v>25</v>
      </c>
      <c r="K39" s="209">
        <v>1</v>
      </c>
      <c r="L39" s="208"/>
      <c r="M39" s="691" t="s">
        <v>33</v>
      </c>
      <c r="N39" s="276"/>
      <c r="O39" s="215"/>
      <c r="P39" s="21" t="s">
        <v>953</v>
      </c>
    </row>
    <row r="40" spans="1:16" ht="54">
      <c r="A40" s="587">
        <v>34</v>
      </c>
      <c r="B40" s="83" t="s">
        <v>75</v>
      </c>
      <c r="C40" s="83"/>
      <c r="D40" s="21" t="s">
        <v>40</v>
      </c>
      <c r="E40" s="164" t="s">
        <v>84</v>
      </c>
      <c r="F40" s="205">
        <f>2* 848904</f>
        <v>1697808</v>
      </c>
      <c r="G40" s="83" t="s">
        <v>23</v>
      </c>
      <c r="H40" s="83" t="s">
        <v>41</v>
      </c>
      <c r="I40" s="83">
        <v>1399</v>
      </c>
      <c r="J40" s="83" t="s">
        <v>25</v>
      </c>
      <c r="K40" s="209">
        <v>1</v>
      </c>
      <c r="L40" s="208"/>
      <c r="M40" s="691" t="s">
        <v>33</v>
      </c>
      <c r="N40" s="276"/>
      <c r="O40" s="214"/>
      <c r="P40" s="21"/>
    </row>
    <row r="41" spans="1:16" ht="126">
      <c r="A41" s="587">
        <v>35</v>
      </c>
      <c r="B41" s="83" t="s">
        <v>75</v>
      </c>
      <c r="C41" s="83"/>
      <c r="D41" s="21" t="s">
        <v>40</v>
      </c>
      <c r="E41" s="191" t="s">
        <v>150</v>
      </c>
      <c r="F41" s="670">
        <f>10*68634</f>
        <v>686340</v>
      </c>
      <c r="G41" s="83" t="s">
        <v>23</v>
      </c>
      <c r="H41" s="83" t="s">
        <v>41</v>
      </c>
      <c r="I41" s="83">
        <v>1399</v>
      </c>
      <c r="J41" s="83" t="s">
        <v>25</v>
      </c>
      <c r="K41" s="209">
        <v>1</v>
      </c>
      <c r="L41" s="206" t="s">
        <v>1828</v>
      </c>
      <c r="M41" s="691" t="s">
        <v>33</v>
      </c>
      <c r="N41" s="208" t="s">
        <v>325</v>
      </c>
      <c r="O41" s="22" t="s">
        <v>997</v>
      </c>
      <c r="P41" s="21"/>
    </row>
    <row r="42" spans="1:16" ht="126">
      <c r="A42" s="587">
        <v>36</v>
      </c>
      <c r="B42" s="83" t="s">
        <v>75</v>
      </c>
      <c r="C42" s="83"/>
      <c r="D42" s="21" t="s">
        <v>40</v>
      </c>
      <c r="E42" s="164" t="s">
        <v>443</v>
      </c>
      <c r="F42" s="673">
        <f>5* 304452</f>
        <v>1522260</v>
      </c>
      <c r="G42" s="83" t="s">
        <v>23</v>
      </c>
      <c r="H42" s="83" t="s">
        <v>41</v>
      </c>
      <c r="I42" s="83">
        <v>1399</v>
      </c>
      <c r="J42" s="83" t="s">
        <v>25</v>
      </c>
      <c r="K42" s="209">
        <v>1</v>
      </c>
      <c r="L42" s="206" t="s">
        <v>1828</v>
      </c>
      <c r="M42" s="691" t="s">
        <v>33</v>
      </c>
      <c r="N42" s="208" t="s">
        <v>325</v>
      </c>
      <c r="O42" s="22" t="s">
        <v>997</v>
      </c>
      <c r="P42" s="21"/>
    </row>
    <row r="43" spans="1:16" ht="126">
      <c r="A43" s="587">
        <v>37</v>
      </c>
      <c r="B43" s="83" t="s">
        <v>75</v>
      </c>
      <c r="C43" s="83"/>
      <c r="D43" s="21" t="s">
        <v>40</v>
      </c>
      <c r="E43" s="164" t="s">
        <v>250</v>
      </c>
      <c r="F43" s="205">
        <f>1710*148</f>
        <v>253080</v>
      </c>
      <c r="G43" s="83" t="s">
        <v>23</v>
      </c>
      <c r="H43" s="83" t="s">
        <v>41</v>
      </c>
      <c r="I43" s="83">
        <v>1399</v>
      </c>
      <c r="J43" s="83" t="s">
        <v>25</v>
      </c>
      <c r="K43" s="209">
        <v>1</v>
      </c>
      <c r="L43" s="206" t="s">
        <v>1828</v>
      </c>
      <c r="M43" s="691" t="s">
        <v>33</v>
      </c>
      <c r="N43" s="208" t="s">
        <v>325</v>
      </c>
      <c r="O43" s="22" t="s">
        <v>997</v>
      </c>
      <c r="P43" s="21"/>
    </row>
    <row r="44" spans="1:16" ht="126">
      <c r="A44" s="587">
        <v>38</v>
      </c>
      <c r="B44" s="83" t="s">
        <v>75</v>
      </c>
      <c r="C44" s="83"/>
      <c r="D44" s="21" t="s">
        <v>40</v>
      </c>
      <c r="E44" s="164" t="s">
        <v>86</v>
      </c>
      <c r="F44" s="673">
        <f>2*375000</f>
        <v>750000</v>
      </c>
      <c r="G44" s="83" t="s">
        <v>23</v>
      </c>
      <c r="H44" s="83" t="s">
        <v>41</v>
      </c>
      <c r="I44" s="83">
        <v>1399</v>
      </c>
      <c r="J44" s="83" t="s">
        <v>25</v>
      </c>
      <c r="K44" s="209">
        <v>1</v>
      </c>
      <c r="L44" s="206" t="s">
        <v>1828</v>
      </c>
      <c r="M44" s="691" t="s">
        <v>33</v>
      </c>
      <c r="N44" s="208" t="s">
        <v>325</v>
      </c>
      <c r="O44" s="22" t="s">
        <v>997</v>
      </c>
      <c r="P44" s="21"/>
    </row>
    <row r="45" spans="1:16" ht="54">
      <c r="A45" s="587">
        <v>39</v>
      </c>
      <c r="B45" s="354"/>
      <c r="C45" s="354"/>
      <c r="D45" s="446" t="s">
        <v>40</v>
      </c>
      <c r="E45" s="164" t="s">
        <v>999</v>
      </c>
      <c r="F45" s="205">
        <v>300000</v>
      </c>
      <c r="G45" s="354" t="s">
        <v>23</v>
      </c>
      <c r="H45" s="354" t="s">
        <v>41</v>
      </c>
      <c r="I45" s="354">
        <v>1399</v>
      </c>
      <c r="J45" s="354" t="s">
        <v>25</v>
      </c>
      <c r="K45" s="209">
        <v>1</v>
      </c>
      <c r="L45" s="208"/>
      <c r="M45" s="691" t="s">
        <v>33</v>
      </c>
      <c r="N45" s="208"/>
      <c r="O45" s="22"/>
      <c r="P45" s="446"/>
    </row>
    <row r="46" spans="1:16" ht="54">
      <c r="A46" s="587">
        <v>40</v>
      </c>
      <c r="B46" s="83" t="s">
        <v>75</v>
      </c>
      <c r="C46" s="83"/>
      <c r="D46" s="21" t="s">
        <v>40</v>
      </c>
      <c r="E46" s="164" t="s">
        <v>251</v>
      </c>
      <c r="F46" s="205">
        <f>49*22320</f>
        <v>1093680</v>
      </c>
      <c r="G46" s="83" t="s">
        <v>23</v>
      </c>
      <c r="H46" s="83" t="s">
        <v>41</v>
      </c>
      <c r="I46" s="83">
        <v>1399</v>
      </c>
      <c r="J46" s="83" t="s">
        <v>25</v>
      </c>
      <c r="K46" s="209">
        <v>1</v>
      </c>
      <c r="L46" s="208"/>
      <c r="M46" s="691" t="s">
        <v>33</v>
      </c>
      <c r="N46" s="276"/>
      <c r="O46" s="21"/>
      <c r="P46" s="21"/>
    </row>
    <row r="47" spans="1:16" ht="54">
      <c r="A47" s="587">
        <v>41</v>
      </c>
      <c r="B47" s="83" t="s">
        <v>75</v>
      </c>
      <c r="C47" s="83"/>
      <c r="D47" s="21" t="s">
        <v>40</v>
      </c>
      <c r="E47" s="164" t="s">
        <v>162</v>
      </c>
      <c r="F47" s="205">
        <f>20* 3645</f>
        <v>72900</v>
      </c>
      <c r="G47" s="83" t="s">
        <v>23</v>
      </c>
      <c r="H47" s="83" t="s">
        <v>41</v>
      </c>
      <c r="I47" s="83">
        <v>1399</v>
      </c>
      <c r="J47" s="83" t="s">
        <v>25</v>
      </c>
      <c r="K47" s="209">
        <v>1</v>
      </c>
      <c r="L47" s="208"/>
      <c r="M47" s="691" t="s">
        <v>33</v>
      </c>
      <c r="N47" s="276"/>
      <c r="O47" s="21"/>
      <c r="P47" s="21"/>
    </row>
    <row r="48" spans="1:16" ht="54">
      <c r="A48" s="587">
        <v>42</v>
      </c>
      <c r="B48" s="83" t="s">
        <v>75</v>
      </c>
      <c r="C48" s="83"/>
      <c r="D48" s="21" t="s">
        <v>40</v>
      </c>
      <c r="E48" s="164" t="s">
        <v>442</v>
      </c>
      <c r="F48" s="205">
        <f>2* 44640</f>
        <v>89280</v>
      </c>
      <c r="G48" s="83" t="s">
        <v>23</v>
      </c>
      <c r="H48" s="83" t="s">
        <v>41</v>
      </c>
      <c r="I48" s="83">
        <v>1399</v>
      </c>
      <c r="J48" s="83" t="s">
        <v>25</v>
      </c>
      <c r="K48" s="209">
        <v>1</v>
      </c>
      <c r="L48" s="208"/>
      <c r="M48" s="691" t="s">
        <v>33</v>
      </c>
      <c r="N48" s="674"/>
      <c r="O48" s="673"/>
      <c r="P48" s="21"/>
    </row>
    <row r="49" spans="1:16" ht="54">
      <c r="A49" s="587">
        <v>43</v>
      </c>
      <c r="B49" s="83" t="s">
        <v>75</v>
      </c>
      <c r="C49" s="83"/>
      <c r="D49" s="21" t="s">
        <v>40</v>
      </c>
      <c r="E49" s="164" t="s">
        <v>441</v>
      </c>
      <c r="F49" s="205">
        <f>15*52471</f>
        <v>787065</v>
      </c>
      <c r="G49" s="83" t="s">
        <v>23</v>
      </c>
      <c r="H49" s="83" t="s">
        <v>41</v>
      </c>
      <c r="I49" s="83">
        <v>1399</v>
      </c>
      <c r="J49" s="83" t="s">
        <v>25</v>
      </c>
      <c r="K49" s="209">
        <v>1</v>
      </c>
      <c r="L49" s="208"/>
      <c r="M49" s="691" t="s">
        <v>33</v>
      </c>
      <c r="N49" s="674"/>
      <c r="O49" s="673"/>
      <c r="P49" s="21"/>
    </row>
    <row r="50" spans="1:16" ht="54">
      <c r="A50" s="587">
        <v>44</v>
      </c>
      <c r="B50" s="83" t="s">
        <v>75</v>
      </c>
      <c r="C50" s="83"/>
      <c r="D50" s="21" t="s">
        <v>40</v>
      </c>
      <c r="E50" s="164" t="s">
        <v>1000</v>
      </c>
      <c r="F50" s="446">
        <f>300*2617</f>
        <v>785100</v>
      </c>
      <c r="G50" s="354" t="s">
        <v>23</v>
      </c>
      <c r="H50" s="354" t="s">
        <v>41</v>
      </c>
      <c r="I50" s="354">
        <v>1399</v>
      </c>
      <c r="J50" s="354" t="s">
        <v>25</v>
      </c>
      <c r="K50" s="209">
        <v>1</v>
      </c>
      <c r="L50" s="208"/>
      <c r="M50" s="691" t="s">
        <v>33</v>
      </c>
      <c r="N50" s="674"/>
      <c r="O50" s="673"/>
      <c r="P50" s="21"/>
    </row>
    <row r="51" spans="1:16" ht="54">
      <c r="A51" s="587">
        <v>45</v>
      </c>
      <c r="B51" s="83" t="s">
        <v>75</v>
      </c>
      <c r="C51" s="83"/>
      <c r="D51" s="21" t="s">
        <v>40</v>
      </c>
      <c r="E51" s="164" t="s">
        <v>48</v>
      </c>
      <c r="F51" s="205">
        <f>2* 42514</f>
        <v>85028</v>
      </c>
      <c r="G51" s="83" t="s">
        <v>23</v>
      </c>
      <c r="H51" s="83" t="s">
        <v>41</v>
      </c>
      <c r="I51" s="83">
        <v>1399</v>
      </c>
      <c r="J51" s="83" t="s">
        <v>25</v>
      </c>
      <c r="K51" s="209">
        <v>1</v>
      </c>
      <c r="L51" s="208"/>
      <c r="M51" s="691" t="s">
        <v>33</v>
      </c>
      <c r="N51" s="276"/>
      <c r="O51" s="21"/>
      <c r="P51" s="21"/>
    </row>
    <row r="52" spans="1:16" ht="126">
      <c r="A52" s="587">
        <v>46</v>
      </c>
      <c r="B52" s="83" t="s">
        <v>75</v>
      </c>
      <c r="C52" s="83"/>
      <c r="D52" s="21" t="s">
        <v>40</v>
      </c>
      <c r="E52" s="164" t="s">
        <v>91</v>
      </c>
      <c r="F52" s="673">
        <f>100*1041</f>
        <v>104100</v>
      </c>
      <c r="G52" s="83" t="s">
        <v>23</v>
      </c>
      <c r="H52" s="83" t="s">
        <v>41</v>
      </c>
      <c r="I52" s="83">
        <v>1399</v>
      </c>
      <c r="J52" s="83" t="s">
        <v>25</v>
      </c>
      <c r="K52" s="209">
        <v>1</v>
      </c>
      <c r="L52" s="206" t="s">
        <v>1828</v>
      </c>
      <c r="M52" s="691" t="s">
        <v>33</v>
      </c>
      <c r="N52" s="208" t="s">
        <v>325</v>
      </c>
      <c r="O52" s="22" t="s">
        <v>997</v>
      </c>
      <c r="P52" s="21"/>
    </row>
    <row r="53" spans="1:16" ht="126">
      <c r="A53" s="587">
        <v>47</v>
      </c>
      <c r="B53" s="83" t="s">
        <v>75</v>
      </c>
      <c r="C53" s="83"/>
      <c r="D53" s="21" t="s">
        <v>40</v>
      </c>
      <c r="E53" s="164" t="s">
        <v>103</v>
      </c>
      <c r="F53" s="673">
        <f>150* 911</f>
        <v>136650</v>
      </c>
      <c r="G53" s="83" t="s">
        <v>23</v>
      </c>
      <c r="H53" s="83" t="s">
        <v>41</v>
      </c>
      <c r="I53" s="83">
        <v>1399</v>
      </c>
      <c r="J53" s="83" t="s">
        <v>25</v>
      </c>
      <c r="K53" s="209">
        <v>1</v>
      </c>
      <c r="L53" s="206" t="s">
        <v>1828</v>
      </c>
      <c r="M53" s="691" t="s">
        <v>33</v>
      </c>
      <c r="N53" s="208" t="s">
        <v>325</v>
      </c>
      <c r="O53" s="22" t="s">
        <v>997</v>
      </c>
      <c r="P53" s="21"/>
    </row>
    <row r="54" spans="1:16" ht="54">
      <c r="A54" s="587">
        <v>48</v>
      </c>
      <c r="B54" s="83" t="s">
        <v>75</v>
      </c>
      <c r="C54" s="83"/>
      <c r="D54" s="21" t="s">
        <v>40</v>
      </c>
      <c r="E54" s="164" t="s">
        <v>439</v>
      </c>
      <c r="F54" s="205">
        <f>800* 315</f>
        <v>252000</v>
      </c>
      <c r="G54" s="83" t="s">
        <v>23</v>
      </c>
      <c r="H54" s="83" t="s">
        <v>41</v>
      </c>
      <c r="I54" s="83">
        <v>1399</v>
      </c>
      <c r="J54" s="83" t="s">
        <v>25</v>
      </c>
      <c r="K54" s="209">
        <v>1</v>
      </c>
      <c r="L54" s="208"/>
      <c r="M54" s="691" t="s">
        <v>33</v>
      </c>
      <c r="N54" s="276"/>
      <c r="O54" s="21"/>
      <c r="P54" s="21"/>
    </row>
    <row r="55" spans="1:16" ht="126">
      <c r="A55" s="587">
        <v>49</v>
      </c>
      <c r="B55" s="83" t="s">
        <v>75</v>
      </c>
      <c r="C55" s="83"/>
      <c r="D55" s="21" t="s">
        <v>40</v>
      </c>
      <c r="E55" s="164" t="s">
        <v>94</v>
      </c>
      <c r="F55" s="673">
        <f>2* 45570</f>
        <v>91140</v>
      </c>
      <c r="G55" s="83" t="s">
        <v>23</v>
      </c>
      <c r="H55" s="83" t="s">
        <v>41</v>
      </c>
      <c r="I55" s="83">
        <v>1399</v>
      </c>
      <c r="J55" s="83" t="s">
        <v>25</v>
      </c>
      <c r="K55" s="209">
        <v>1</v>
      </c>
      <c r="L55" s="206" t="s">
        <v>1828</v>
      </c>
      <c r="M55" s="691" t="s">
        <v>33</v>
      </c>
      <c r="N55" s="208" t="s">
        <v>325</v>
      </c>
      <c r="O55" s="22" t="s">
        <v>997</v>
      </c>
      <c r="P55" s="21"/>
    </row>
    <row r="56" spans="1:16" ht="126">
      <c r="A56" s="587">
        <v>50</v>
      </c>
      <c r="B56" s="83" t="s">
        <v>75</v>
      </c>
      <c r="C56" s="83"/>
      <c r="D56" s="21" t="s">
        <v>40</v>
      </c>
      <c r="E56" s="164" t="s">
        <v>95</v>
      </c>
      <c r="F56" s="673">
        <f>10* 10416</f>
        <v>104160</v>
      </c>
      <c r="G56" s="83" t="s">
        <v>23</v>
      </c>
      <c r="H56" s="83" t="s">
        <v>41</v>
      </c>
      <c r="I56" s="83">
        <v>1399</v>
      </c>
      <c r="J56" s="83" t="s">
        <v>25</v>
      </c>
      <c r="K56" s="209">
        <v>1</v>
      </c>
      <c r="L56" s="206" t="s">
        <v>1828</v>
      </c>
      <c r="M56" s="691" t="s">
        <v>33</v>
      </c>
      <c r="N56" s="208" t="s">
        <v>325</v>
      </c>
      <c r="O56" s="22" t="s">
        <v>997</v>
      </c>
      <c r="P56" s="21"/>
    </row>
    <row r="57" spans="1:16" ht="126">
      <c r="A57" s="587">
        <v>51</v>
      </c>
      <c r="B57" s="83" t="s">
        <v>75</v>
      </c>
      <c r="C57" s="83"/>
      <c r="D57" s="21" t="s">
        <v>40</v>
      </c>
      <c r="E57" s="164" t="s">
        <v>104</v>
      </c>
      <c r="F57" s="673">
        <f>10*36456</f>
        <v>364560</v>
      </c>
      <c r="G57" s="83" t="s">
        <v>23</v>
      </c>
      <c r="H57" s="83" t="s">
        <v>41</v>
      </c>
      <c r="I57" s="83">
        <v>1399</v>
      </c>
      <c r="J57" s="83" t="s">
        <v>25</v>
      </c>
      <c r="K57" s="209">
        <v>1</v>
      </c>
      <c r="L57" s="206" t="s">
        <v>1828</v>
      </c>
      <c r="M57" s="691" t="s">
        <v>33</v>
      </c>
      <c r="N57" s="208" t="s">
        <v>325</v>
      </c>
      <c r="O57" s="22" t="s">
        <v>997</v>
      </c>
      <c r="P57" s="21"/>
    </row>
    <row r="58" spans="1:16" ht="126">
      <c r="A58" s="587">
        <v>52</v>
      </c>
      <c r="B58" s="83" t="s">
        <v>75</v>
      </c>
      <c r="C58" s="83"/>
      <c r="D58" s="21" t="s">
        <v>40</v>
      </c>
      <c r="E58" s="164" t="s">
        <v>126</v>
      </c>
      <c r="F58" s="673">
        <v>396797</v>
      </c>
      <c r="G58" s="83" t="s">
        <v>23</v>
      </c>
      <c r="H58" s="83" t="s">
        <v>41</v>
      </c>
      <c r="I58" s="83">
        <v>1399</v>
      </c>
      <c r="J58" s="83" t="s">
        <v>25</v>
      </c>
      <c r="K58" s="209">
        <v>1</v>
      </c>
      <c r="L58" s="206" t="s">
        <v>1828</v>
      </c>
      <c r="M58" s="691" t="s">
        <v>33</v>
      </c>
      <c r="N58" s="208" t="s">
        <v>325</v>
      </c>
      <c r="O58" s="22" t="s">
        <v>997</v>
      </c>
      <c r="P58" s="21"/>
    </row>
    <row r="59" spans="1:16" ht="54">
      <c r="A59" s="587">
        <v>53</v>
      </c>
      <c r="B59" s="83" t="s">
        <v>75</v>
      </c>
      <c r="C59" s="83"/>
      <c r="D59" s="21" t="s">
        <v>40</v>
      </c>
      <c r="E59" s="164" t="s">
        <v>438</v>
      </c>
      <c r="F59" s="205">
        <f>30000* 31</f>
        <v>930000</v>
      </c>
      <c r="G59" s="83" t="s">
        <v>23</v>
      </c>
      <c r="H59" s="83" t="s">
        <v>41</v>
      </c>
      <c r="I59" s="83">
        <v>1399</v>
      </c>
      <c r="J59" s="83" t="s">
        <v>25</v>
      </c>
      <c r="K59" s="209">
        <v>1</v>
      </c>
      <c r="L59" s="208"/>
      <c r="M59" s="691" t="s">
        <v>33</v>
      </c>
      <c r="N59" s="276"/>
      <c r="O59" s="21"/>
      <c r="P59" s="21"/>
    </row>
    <row r="60" spans="1:16" ht="54">
      <c r="A60" s="587">
        <v>54</v>
      </c>
      <c r="B60" s="83" t="s">
        <v>75</v>
      </c>
      <c r="C60" s="83"/>
      <c r="D60" s="21" t="s">
        <v>40</v>
      </c>
      <c r="E60" s="164" t="s">
        <v>437</v>
      </c>
      <c r="F60" s="205">
        <f>150000* 6.4</f>
        <v>960000</v>
      </c>
      <c r="G60" s="83" t="s">
        <v>23</v>
      </c>
      <c r="H60" s="83" t="s">
        <v>41</v>
      </c>
      <c r="I60" s="83">
        <v>1399</v>
      </c>
      <c r="J60" s="83" t="s">
        <v>25</v>
      </c>
      <c r="K60" s="209">
        <v>1</v>
      </c>
      <c r="L60" s="208"/>
      <c r="M60" s="691" t="s">
        <v>33</v>
      </c>
      <c r="N60" s="276"/>
      <c r="O60" s="21"/>
      <c r="P60" s="21"/>
    </row>
    <row r="61" spans="1:16" ht="126">
      <c r="A61" s="587">
        <v>55</v>
      </c>
      <c r="B61" s="83" t="s">
        <v>75</v>
      </c>
      <c r="C61" s="83"/>
      <c r="D61" s="21" t="s">
        <v>40</v>
      </c>
      <c r="E61" s="164" t="s">
        <v>436</v>
      </c>
      <c r="F61" s="205">
        <f>17* 38500</f>
        <v>654500</v>
      </c>
      <c r="G61" s="83" t="s">
        <v>23</v>
      </c>
      <c r="H61" s="83" t="s">
        <v>41</v>
      </c>
      <c r="I61" s="83">
        <v>1399</v>
      </c>
      <c r="J61" s="83" t="s">
        <v>25</v>
      </c>
      <c r="K61" s="209">
        <v>1</v>
      </c>
      <c r="L61" s="206" t="s">
        <v>1828</v>
      </c>
      <c r="M61" s="691" t="s">
        <v>33</v>
      </c>
      <c r="N61" s="208" t="s">
        <v>325</v>
      </c>
      <c r="O61" s="22" t="s">
        <v>997</v>
      </c>
      <c r="P61" s="21"/>
    </row>
    <row r="62" spans="1:16" ht="72">
      <c r="A62" s="587">
        <v>56</v>
      </c>
      <c r="B62" s="83" t="s">
        <v>75</v>
      </c>
      <c r="C62" s="83"/>
      <c r="D62" s="21" t="s">
        <v>40</v>
      </c>
      <c r="E62" s="164" t="s">
        <v>254</v>
      </c>
      <c r="F62" s="213">
        <v>300000</v>
      </c>
      <c r="G62" s="83" t="s">
        <v>23</v>
      </c>
      <c r="H62" s="83" t="s">
        <v>41</v>
      </c>
      <c r="I62" s="83">
        <v>1399</v>
      </c>
      <c r="J62" s="83" t="s">
        <v>25</v>
      </c>
      <c r="K62" s="209">
        <v>1</v>
      </c>
      <c r="L62" s="208"/>
      <c r="M62" s="691" t="s">
        <v>33</v>
      </c>
      <c r="N62" s="276"/>
      <c r="O62" s="21"/>
      <c r="P62" s="21"/>
    </row>
    <row r="63" spans="1:16" ht="72">
      <c r="A63" s="587">
        <v>57</v>
      </c>
      <c r="B63" s="83" t="s">
        <v>75</v>
      </c>
      <c r="C63" s="83"/>
      <c r="D63" s="21" t="s">
        <v>40</v>
      </c>
      <c r="E63" s="164" t="s">
        <v>255</v>
      </c>
      <c r="F63" s="213">
        <v>750000</v>
      </c>
      <c r="G63" s="83" t="s">
        <v>23</v>
      </c>
      <c r="H63" s="83" t="s">
        <v>41</v>
      </c>
      <c r="I63" s="83">
        <v>1399</v>
      </c>
      <c r="J63" s="83" t="s">
        <v>25</v>
      </c>
      <c r="K63" s="209">
        <v>1</v>
      </c>
      <c r="L63" s="208"/>
      <c r="M63" s="691" t="s">
        <v>33</v>
      </c>
      <c r="N63" s="276"/>
      <c r="O63" s="21"/>
      <c r="P63" s="21"/>
    </row>
    <row r="64" spans="1:16" ht="126">
      <c r="A64" s="587">
        <v>58</v>
      </c>
      <c r="B64" s="83" t="s">
        <v>75</v>
      </c>
      <c r="C64" s="83"/>
      <c r="D64" s="21" t="s">
        <v>40</v>
      </c>
      <c r="E64" s="164" t="s">
        <v>263</v>
      </c>
      <c r="F64" s="673">
        <f>(10010000/1000000)*60000</f>
        <v>600600</v>
      </c>
      <c r="G64" s="83" t="s">
        <v>23</v>
      </c>
      <c r="H64" s="83" t="s">
        <v>41</v>
      </c>
      <c r="I64" s="83">
        <v>1399</v>
      </c>
      <c r="J64" s="83" t="s">
        <v>25</v>
      </c>
      <c r="K64" s="209">
        <v>1</v>
      </c>
      <c r="L64" s="206" t="s">
        <v>1828</v>
      </c>
      <c r="M64" s="691" t="s">
        <v>33</v>
      </c>
      <c r="N64" s="208" t="s">
        <v>325</v>
      </c>
      <c r="O64" s="22" t="s">
        <v>997</v>
      </c>
      <c r="P64" s="21"/>
    </row>
    <row r="65" spans="1:18" ht="54">
      <c r="A65" s="587">
        <v>59</v>
      </c>
      <c r="B65" s="83" t="s">
        <v>75</v>
      </c>
      <c r="C65" s="83" t="s">
        <v>435</v>
      </c>
      <c r="D65" s="169" t="s">
        <v>40</v>
      </c>
      <c r="E65" s="164" t="s">
        <v>140</v>
      </c>
      <c r="F65" s="195">
        <f>83077500/5</f>
        <v>16615500</v>
      </c>
      <c r="G65" s="21" t="s">
        <v>23</v>
      </c>
      <c r="H65" s="21" t="s">
        <v>77</v>
      </c>
      <c r="I65" s="21">
        <v>1399</v>
      </c>
      <c r="J65" s="21" t="s">
        <v>25</v>
      </c>
      <c r="K65" s="209">
        <v>1</v>
      </c>
      <c r="L65" s="169"/>
      <c r="M65" s="691" t="s">
        <v>33</v>
      </c>
      <c r="N65" s="169"/>
      <c r="O65" s="21"/>
      <c r="P65" s="21"/>
    </row>
    <row r="66" spans="1:18" ht="83.45" customHeight="1">
      <c r="A66" s="587">
        <v>60</v>
      </c>
      <c r="B66" s="83" t="s">
        <v>75</v>
      </c>
      <c r="C66" s="83"/>
      <c r="D66" s="21" t="s">
        <v>40</v>
      </c>
      <c r="E66" s="164" t="s">
        <v>96</v>
      </c>
      <c r="F66" s="673">
        <v>2695000</v>
      </c>
      <c r="G66" s="83" t="s">
        <v>23</v>
      </c>
      <c r="H66" s="83" t="s">
        <v>41</v>
      </c>
      <c r="I66" s="83">
        <v>1399</v>
      </c>
      <c r="J66" s="83" t="s">
        <v>25</v>
      </c>
      <c r="K66" s="209">
        <v>1</v>
      </c>
      <c r="L66" s="206" t="s">
        <v>1828</v>
      </c>
      <c r="M66" s="691" t="s">
        <v>33</v>
      </c>
      <c r="N66" s="208" t="s">
        <v>325</v>
      </c>
      <c r="O66" s="22" t="s">
        <v>997</v>
      </c>
      <c r="P66" s="21"/>
    </row>
    <row r="67" spans="1:18" ht="291.60000000000002" customHeight="1">
      <c r="A67" s="587">
        <v>61</v>
      </c>
      <c r="B67" s="83" t="s">
        <v>75</v>
      </c>
      <c r="C67" s="83" t="s">
        <v>434</v>
      </c>
      <c r="D67" s="21" t="s">
        <v>55</v>
      </c>
      <c r="E67" s="164" t="s">
        <v>433</v>
      </c>
      <c r="F67" s="205">
        <v>1499000</v>
      </c>
      <c r="G67" s="83" t="s">
        <v>23</v>
      </c>
      <c r="H67" s="83" t="s">
        <v>77</v>
      </c>
      <c r="I67" s="83">
        <v>1399</v>
      </c>
      <c r="J67" s="83" t="s">
        <v>25</v>
      </c>
      <c r="K67" s="209">
        <v>1</v>
      </c>
      <c r="L67" s="212"/>
      <c r="M67" s="691" t="s">
        <v>33</v>
      </c>
      <c r="N67" s="411"/>
      <c r="O67" s="21"/>
      <c r="P67" s="21"/>
      <c r="Q67" s="211"/>
      <c r="R67" s="210"/>
    </row>
    <row r="68" spans="1:18" ht="58.9" customHeight="1">
      <c r="A68" s="587">
        <v>62</v>
      </c>
      <c r="B68" s="83" t="s">
        <v>75</v>
      </c>
      <c r="C68" s="83"/>
      <c r="D68" s="21" t="s">
        <v>108</v>
      </c>
      <c r="E68" s="164" t="s">
        <v>109</v>
      </c>
      <c r="F68" s="205">
        <v>1000000</v>
      </c>
      <c r="G68" s="83" t="s">
        <v>23</v>
      </c>
      <c r="H68" s="83" t="s">
        <v>77</v>
      </c>
      <c r="I68" s="83">
        <v>1399</v>
      </c>
      <c r="J68" s="83" t="s">
        <v>25</v>
      </c>
      <c r="K68" s="209"/>
      <c r="L68" s="208" t="s">
        <v>72</v>
      </c>
      <c r="M68" s="21"/>
      <c r="N68" s="43" t="s">
        <v>432</v>
      </c>
      <c r="O68" s="21" t="s">
        <v>275</v>
      </c>
      <c r="P68" s="21"/>
    </row>
    <row r="69" spans="1:18" ht="90.6" customHeight="1">
      <c r="A69" s="587">
        <v>63</v>
      </c>
      <c r="B69" s="83" t="s">
        <v>75</v>
      </c>
      <c r="C69" s="83"/>
      <c r="D69" s="21" t="s">
        <v>76</v>
      </c>
      <c r="E69" s="164" t="s">
        <v>1854</v>
      </c>
      <c r="F69" s="207">
        <v>173709709</v>
      </c>
      <c r="G69" s="83" t="s">
        <v>23</v>
      </c>
      <c r="H69" s="83" t="s">
        <v>77</v>
      </c>
      <c r="I69" s="83">
        <v>1399</v>
      </c>
      <c r="J69" s="83" t="s">
        <v>25</v>
      </c>
      <c r="K69" s="163">
        <v>0.91</v>
      </c>
      <c r="L69" s="83"/>
      <c r="M69" s="83" t="s">
        <v>42</v>
      </c>
      <c r="N69" s="43"/>
      <c r="O69" s="83"/>
      <c r="P69" s="83" t="s">
        <v>1855</v>
      </c>
      <c r="Q69" s="145"/>
    </row>
    <row r="70" spans="1:18" ht="134.25" customHeight="1">
      <c r="A70" s="587">
        <v>64</v>
      </c>
      <c r="B70" s="354" t="s">
        <v>75</v>
      </c>
      <c r="C70" s="354" t="s">
        <v>1080</v>
      </c>
      <c r="D70" s="458" t="s">
        <v>111</v>
      </c>
      <c r="E70" s="164" t="s">
        <v>1418</v>
      </c>
      <c r="F70" s="205">
        <v>920000</v>
      </c>
      <c r="G70" s="354" t="s">
        <v>23</v>
      </c>
      <c r="H70" s="354" t="s">
        <v>77</v>
      </c>
      <c r="I70" s="354">
        <v>1399</v>
      </c>
      <c r="J70" s="354" t="s">
        <v>25</v>
      </c>
      <c r="K70" s="484">
        <v>1</v>
      </c>
      <c r="L70" s="206"/>
      <c r="M70" s="458" t="s">
        <v>33</v>
      </c>
      <c r="N70" s="535"/>
      <c r="O70" s="535"/>
      <c r="P70" s="536"/>
    </row>
    <row r="71" spans="1:18" ht="36">
      <c r="A71" s="587">
        <v>65</v>
      </c>
      <c r="B71" s="354" t="s">
        <v>75</v>
      </c>
      <c r="C71" s="354" t="s">
        <v>1004</v>
      </c>
      <c r="D71" s="458" t="s">
        <v>111</v>
      </c>
      <c r="E71" s="164" t="s">
        <v>214</v>
      </c>
      <c r="F71" s="205">
        <v>160000</v>
      </c>
      <c r="G71" s="354" t="s">
        <v>23</v>
      </c>
      <c r="H71" s="354" t="s">
        <v>77</v>
      </c>
      <c r="I71" s="354">
        <v>1399</v>
      </c>
      <c r="J71" s="354" t="s">
        <v>25</v>
      </c>
      <c r="K71" s="537">
        <v>1</v>
      </c>
      <c r="L71" s="206"/>
      <c r="M71" s="458" t="s">
        <v>33</v>
      </c>
      <c r="N71" s="535"/>
      <c r="O71" s="535"/>
      <c r="P71" s="536"/>
    </row>
    <row r="72" spans="1:18" ht="36">
      <c r="A72" s="587">
        <v>66</v>
      </c>
      <c r="B72" s="354" t="s">
        <v>75</v>
      </c>
      <c r="C72" s="354" t="s">
        <v>1419</v>
      </c>
      <c r="D72" s="458" t="s">
        <v>111</v>
      </c>
      <c r="E72" s="164" t="s">
        <v>113</v>
      </c>
      <c r="F72" s="205">
        <v>120000</v>
      </c>
      <c r="G72" s="354" t="s">
        <v>23</v>
      </c>
      <c r="H72" s="354" t="s">
        <v>77</v>
      </c>
      <c r="I72" s="354">
        <v>1399</v>
      </c>
      <c r="J72" s="354" t="s">
        <v>25</v>
      </c>
      <c r="K72" s="537">
        <v>1</v>
      </c>
      <c r="L72" s="206"/>
      <c r="M72" s="458" t="s">
        <v>33</v>
      </c>
      <c r="N72" s="535"/>
      <c r="O72" s="535"/>
      <c r="P72" s="536"/>
    </row>
    <row r="73" spans="1:18" ht="74.25" customHeight="1">
      <c r="A73" s="587">
        <v>67</v>
      </c>
      <c r="B73" s="354" t="s">
        <v>75</v>
      </c>
      <c r="C73" s="714" t="s">
        <v>1420</v>
      </c>
      <c r="D73" s="707" t="s">
        <v>57</v>
      </c>
      <c r="E73" s="349" t="s">
        <v>1421</v>
      </c>
      <c r="F73" s="140">
        <v>16000000</v>
      </c>
      <c r="G73" s="714" t="s">
        <v>23</v>
      </c>
      <c r="H73" s="714" t="s">
        <v>58</v>
      </c>
      <c r="I73" s="714">
        <v>1399</v>
      </c>
      <c r="J73" s="714" t="s">
        <v>25</v>
      </c>
      <c r="K73" s="484">
        <v>0</v>
      </c>
      <c r="L73" s="397"/>
      <c r="M73" s="86" t="s">
        <v>1422</v>
      </c>
      <c r="N73" s="397"/>
      <c r="O73" s="397"/>
      <c r="P73" s="538"/>
    </row>
    <row r="74" spans="1:18" ht="87.75" customHeight="1">
      <c r="A74" s="587">
        <v>68</v>
      </c>
      <c r="B74" s="354" t="s">
        <v>75</v>
      </c>
      <c r="C74" s="807" t="s">
        <v>1423</v>
      </c>
      <c r="D74" s="707" t="s">
        <v>57</v>
      </c>
      <c r="E74" s="349" t="s">
        <v>1424</v>
      </c>
      <c r="F74" s="140">
        <v>30348500</v>
      </c>
      <c r="G74" s="714" t="s">
        <v>23</v>
      </c>
      <c r="H74" s="714" t="s">
        <v>58</v>
      </c>
      <c r="I74" s="714">
        <v>1399</v>
      </c>
      <c r="J74" s="714" t="s">
        <v>25</v>
      </c>
      <c r="K74" s="484">
        <v>0.6</v>
      </c>
      <c r="L74" s="397"/>
      <c r="M74" s="86" t="s">
        <v>1983</v>
      </c>
      <c r="N74" s="397"/>
      <c r="O74" s="397"/>
      <c r="P74" s="536" t="s">
        <v>17</v>
      </c>
    </row>
    <row r="75" spans="1:18" ht="72">
      <c r="A75" s="587">
        <v>69</v>
      </c>
      <c r="B75" s="354" t="s">
        <v>75</v>
      </c>
      <c r="C75" s="808"/>
      <c r="D75" s="707" t="s">
        <v>57</v>
      </c>
      <c r="E75" s="349" t="s">
        <v>1425</v>
      </c>
      <c r="F75" s="140">
        <v>8640000</v>
      </c>
      <c r="G75" s="714" t="s">
        <v>23</v>
      </c>
      <c r="H75" s="714" t="s">
        <v>58</v>
      </c>
      <c r="I75" s="714">
        <v>1399</v>
      </c>
      <c r="J75" s="714" t="s">
        <v>25</v>
      </c>
      <c r="K75" s="484">
        <v>1</v>
      </c>
      <c r="L75" s="397"/>
      <c r="M75" s="86" t="s">
        <v>33</v>
      </c>
      <c r="N75" s="397"/>
      <c r="O75" s="397"/>
      <c r="P75" s="536"/>
    </row>
    <row r="76" spans="1:18" ht="72">
      <c r="A76" s="587">
        <v>70</v>
      </c>
      <c r="B76" s="354" t="s">
        <v>75</v>
      </c>
      <c r="C76" s="808"/>
      <c r="D76" s="707" t="s">
        <v>57</v>
      </c>
      <c r="E76" s="349" t="s">
        <v>1426</v>
      </c>
      <c r="F76" s="140">
        <v>1956496.8</v>
      </c>
      <c r="G76" s="714" t="s">
        <v>23</v>
      </c>
      <c r="H76" s="714" t="s">
        <v>58</v>
      </c>
      <c r="I76" s="714">
        <v>1399</v>
      </c>
      <c r="J76" s="714" t="s">
        <v>25</v>
      </c>
      <c r="K76" s="484">
        <v>1</v>
      </c>
      <c r="L76" s="397"/>
      <c r="M76" s="86" t="s">
        <v>33</v>
      </c>
      <c r="N76" s="397"/>
      <c r="O76" s="397"/>
      <c r="P76" s="536"/>
    </row>
    <row r="77" spans="1:18" ht="72">
      <c r="A77" s="587">
        <v>71</v>
      </c>
      <c r="B77" s="354" t="s">
        <v>75</v>
      </c>
      <c r="C77" s="808"/>
      <c r="D77" s="707" t="s">
        <v>57</v>
      </c>
      <c r="E77" s="349" t="s">
        <v>1427</v>
      </c>
      <c r="F77" s="140">
        <v>1049040</v>
      </c>
      <c r="G77" s="714" t="s">
        <v>23</v>
      </c>
      <c r="H77" s="714" t="s">
        <v>58</v>
      </c>
      <c r="I77" s="714">
        <v>1399</v>
      </c>
      <c r="J77" s="714" t="s">
        <v>25</v>
      </c>
      <c r="K77" s="484">
        <v>1</v>
      </c>
      <c r="L77" s="397"/>
      <c r="M77" s="86" t="s">
        <v>33</v>
      </c>
      <c r="N77" s="397"/>
      <c r="O77" s="397"/>
      <c r="P77" s="536" t="s">
        <v>17</v>
      </c>
    </row>
    <row r="78" spans="1:18" ht="90">
      <c r="A78" s="587">
        <v>72</v>
      </c>
      <c r="B78" s="354" t="s">
        <v>75</v>
      </c>
      <c r="C78" s="808"/>
      <c r="D78" s="707" t="s">
        <v>57</v>
      </c>
      <c r="E78" s="349" t="s">
        <v>1428</v>
      </c>
      <c r="F78" s="140">
        <v>334800</v>
      </c>
      <c r="G78" s="714" t="s">
        <v>23</v>
      </c>
      <c r="H78" s="714" t="s">
        <v>58</v>
      </c>
      <c r="I78" s="714">
        <v>1399</v>
      </c>
      <c r="J78" s="714" t="s">
        <v>25</v>
      </c>
      <c r="K78" s="484">
        <v>1</v>
      </c>
      <c r="L78" s="397"/>
      <c r="M78" s="86" t="s">
        <v>33</v>
      </c>
      <c r="N78" s="397"/>
      <c r="O78" s="397"/>
      <c r="P78" s="536"/>
    </row>
    <row r="79" spans="1:18" ht="72">
      <c r="A79" s="587">
        <v>73</v>
      </c>
      <c r="B79" s="354" t="s">
        <v>75</v>
      </c>
      <c r="C79" s="808"/>
      <c r="D79" s="707" t="s">
        <v>57</v>
      </c>
      <c r="E79" s="349" t="s">
        <v>1429</v>
      </c>
      <c r="F79" s="140">
        <v>721680</v>
      </c>
      <c r="G79" s="714" t="s">
        <v>23</v>
      </c>
      <c r="H79" s="714" t="s">
        <v>58</v>
      </c>
      <c r="I79" s="714">
        <v>1399</v>
      </c>
      <c r="J79" s="714" t="s">
        <v>25</v>
      </c>
      <c r="K79" s="484">
        <v>1</v>
      </c>
      <c r="L79" s="397"/>
      <c r="M79" s="86" t="s">
        <v>33</v>
      </c>
      <c r="N79" s="397"/>
      <c r="O79" s="397"/>
      <c r="P79" s="536" t="s">
        <v>17</v>
      </c>
    </row>
    <row r="80" spans="1:18" ht="72">
      <c r="A80" s="587">
        <v>74</v>
      </c>
      <c r="B80" s="354" t="s">
        <v>75</v>
      </c>
      <c r="C80" s="809"/>
      <c r="D80" s="707" t="s">
        <v>57</v>
      </c>
      <c r="E80" s="349" t="s">
        <v>1430</v>
      </c>
      <c r="F80" s="140">
        <v>3695224.8000000003</v>
      </c>
      <c r="G80" s="714" t="s">
        <v>23</v>
      </c>
      <c r="H80" s="714" t="s">
        <v>58</v>
      </c>
      <c r="I80" s="714">
        <v>1399</v>
      </c>
      <c r="J80" s="714" t="s">
        <v>25</v>
      </c>
      <c r="K80" s="484">
        <v>1</v>
      </c>
      <c r="L80" s="397"/>
      <c r="M80" s="86" t="s">
        <v>33</v>
      </c>
      <c r="N80" s="397"/>
      <c r="O80" s="397"/>
      <c r="P80" s="536"/>
    </row>
    <row r="81" spans="1:17" ht="79.5" customHeight="1">
      <c r="A81" s="587">
        <v>75</v>
      </c>
      <c r="B81" s="354" t="s">
        <v>75</v>
      </c>
      <c r="C81" s="714" t="s">
        <v>1431</v>
      </c>
      <c r="D81" s="707" t="s">
        <v>59</v>
      </c>
      <c r="E81" s="349" t="s">
        <v>1432</v>
      </c>
      <c r="F81" s="755">
        <v>5335438</v>
      </c>
      <c r="G81" s="714" t="s">
        <v>23</v>
      </c>
      <c r="H81" s="714" t="s">
        <v>58</v>
      </c>
      <c r="I81" s="714">
        <v>1399</v>
      </c>
      <c r="J81" s="714" t="s">
        <v>25</v>
      </c>
      <c r="K81" s="60">
        <v>0</v>
      </c>
      <c r="L81" s="397"/>
      <c r="M81" s="86" t="s">
        <v>81</v>
      </c>
      <c r="N81" s="397"/>
      <c r="O81" s="397"/>
      <c r="P81" s="539"/>
      <c r="Q81" s="477"/>
    </row>
    <row r="82" spans="1:17" ht="54">
      <c r="A82" s="587">
        <v>76</v>
      </c>
      <c r="B82" s="354" t="s">
        <v>75</v>
      </c>
      <c r="C82" s="714" t="s">
        <v>1433</v>
      </c>
      <c r="D82" s="707" t="s">
        <v>59</v>
      </c>
      <c r="E82" s="349" t="s">
        <v>1434</v>
      </c>
      <c r="F82" s="755">
        <v>4334397</v>
      </c>
      <c r="G82" s="714" t="s">
        <v>23</v>
      </c>
      <c r="H82" s="714" t="s">
        <v>58</v>
      </c>
      <c r="I82" s="714">
        <v>1399</v>
      </c>
      <c r="J82" s="714" t="s">
        <v>25</v>
      </c>
      <c r="K82" s="60">
        <v>0</v>
      </c>
      <c r="L82" s="397"/>
      <c r="M82" s="86" t="s">
        <v>81</v>
      </c>
      <c r="N82" s="397"/>
      <c r="O82" s="397"/>
      <c r="P82" s="539"/>
      <c r="Q82" s="477"/>
    </row>
    <row r="83" spans="1:17" ht="54">
      <c r="A83" s="587">
        <v>77</v>
      </c>
      <c r="B83" s="354" t="s">
        <v>75</v>
      </c>
      <c r="C83" s="714" t="s">
        <v>1435</v>
      </c>
      <c r="D83" s="707" t="s">
        <v>59</v>
      </c>
      <c r="E83" s="349" t="s">
        <v>1436</v>
      </c>
      <c r="F83" s="755">
        <v>4945639</v>
      </c>
      <c r="G83" s="714" t="s">
        <v>23</v>
      </c>
      <c r="H83" s="714" t="s">
        <v>58</v>
      </c>
      <c r="I83" s="714">
        <v>1399</v>
      </c>
      <c r="J83" s="714" t="s">
        <v>25</v>
      </c>
      <c r="K83" s="60">
        <v>0</v>
      </c>
      <c r="L83" s="397"/>
      <c r="M83" s="86" t="s">
        <v>81</v>
      </c>
      <c r="N83" s="397"/>
      <c r="O83" s="397"/>
      <c r="P83" s="539"/>
      <c r="Q83" s="477"/>
    </row>
    <row r="84" spans="1:17" ht="54">
      <c r="A84" s="587">
        <v>78</v>
      </c>
      <c r="B84" s="354" t="s">
        <v>75</v>
      </c>
      <c r="C84" s="714" t="s">
        <v>184</v>
      </c>
      <c r="D84" s="707" t="s">
        <v>59</v>
      </c>
      <c r="E84" s="349" t="s">
        <v>1437</v>
      </c>
      <c r="F84" s="755">
        <v>17855860</v>
      </c>
      <c r="G84" s="714" t="s">
        <v>23</v>
      </c>
      <c r="H84" s="714" t="s">
        <v>58</v>
      </c>
      <c r="I84" s="714">
        <v>1399</v>
      </c>
      <c r="J84" s="714" t="s">
        <v>25</v>
      </c>
      <c r="K84" s="60">
        <v>0</v>
      </c>
      <c r="L84" s="397"/>
      <c r="M84" s="86" t="s">
        <v>81</v>
      </c>
      <c r="N84" s="397"/>
      <c r="O84" s="397"/>
      <c r="P84" s="540"/>
      <c r="Q84" s="477"/>
    </row>
    <row r="85" spans="1:17" ht="57.75" customHeight="1">
      <c r="A85" s="587">
        <v>79</v>
      </c>
      <c r="B85" s="354" t="s">
        <v>75</v>
      </c>
      <c r="C85" s="807" t="s">
        <v>1423</v>
      </c>
      <c r="D85" s="707" t="s">
        <v>59</v>
      </c>
      <c r="E85" s="90" t="s">
        <v>431</v>
      </c>
      <c r="F85" s="756">
        <v>267821</v>
      </c>
      <c r="G85" s="714" t="s">
        <v>23</v>
      </c>
      <c r="H85" s="714" t="s">
        <v>58</v>
      </c>
      <c r="I85" s="714">
        <v>1399</v>
      </c>
      <c r="J85" s="714" t="s">
        <v>25</v>
      </c>
      <c r="K85" s="60">
        <v>1</v>
      </c>
      <c r="L85" s="397"/>
      <c r="M85" s="86" t="s">
        <v>71</v>
      </c>
      <c r="N85" s="397"/>
      <c r="O85" s="397"/>
      <c r="P85" s="714"/>
      <c r="Q85" s="472"/>
    </row>
    <row r="86" spans="1:17" ht="54">
      <c r="A86" s="587">
        <v>80</v>
      </c>
      <c r="B86" s="354" t="s">
        <v>75</v>
      </c>
      <c r="C86" s="808"/>
      <c r="D86" s="707" t="s">
        <v>59</v>
      </c>
      <c r="E86" s="90" t="s">
        <v>430</v>
      </c>
      <c r="F86" s="756">
        <v>18919</v>
      </c>
      <c r="G86" s="714" t="s">
        <v>23</v>
      </c>
      <c r="H86" s="714" t="s">
        <v>58</v>
      </c>
      <c r="I86" s="714">
        <v>1399</v>
      </c>
      <c r="J86" s="714" t="s">
        <v>25</v>
      </c>
      <c r="K86" s="60"/>
      <c r="L86" s="397" t="s">
        <v>35</v>
      </c>
      <c r="M86" s="86"/>
      <c r="N86" s="714" t="s">
        <v>1438</v>
      </c>
      <c r="O86" s="714" t="s">
        <v>1984</v>
      </c>
      <c r="P86" s="540" t="s">
        <v>17</v>
      </c>
      <c r="Q86" s="472"/>
    </row>
    <row r="87" spans="1:17" ht="54">
      <c r="A87" s="587">
        <v>81</v>
      </c>
      <c r="B87" s="354" t="s">
        <v>75</v>
      </c>
      <c r="C87" s="808"/>
      <c r="D87" s="707" t="s">
        <v>59</v>
      </c>
      <c r="E87" s="90" t="s">
        <v>1269</v>
      </c>
      <c r="F87" s="756">
        <v>23955</v>
      </c>
      <c r="G87" s="714" t="s">
        <v>23</v>
      </c>
      <c r="H87" s="714" t="s">
        <v>58</v>
      </c>
      <c r="I87" s="714">
        <v>1399</v>
      </c>
      <c r="J87" s="714" t="s">
        <v>25</v>
      </c>
      <c r="K87" s="60"/>
      <c r="L87" s="397" t="s">
        <v>35</v>
      </c>
      <c r="M87" s="86"/>
      <c r="N87" s="714" t="s">
        <v>1438</v>
      </c>
      <c r="O87" s="714" t="s">
        <v>1984</v>
      </c>
      <c r="P87" s="714"/>
      <c r="Q87" s="472"/>
    </row>
    <row r="88" spans="1:17" ht="54">
      <c r="A88" s="587">
        <v>82</v>
      </c>
      <c r="B88" s="354" t="s">
        <v>75</v>
      </c>
      <c r="C88" s="808"/>
      <c r="D88" s="707" t="s">
        <v>59</v>
      </c>
      <c r="E88" s="90" t="s">
        <v>60</v>
      </c>
      <c r="F88" s="756">
        <v>138600</v>
      </c>
      <c r="G88" s="714" t="s">
        <v>23</v>
      </c>
      <c r="H88" s="714" t="s">
        <v>58</v>
      </c>
      <c r="I88" s="714">
        <v>1399</v>
      </c>
      <c r="J88" s="714" t="s">
        <v>25</v>
      </c>
      <c r="K88" s="60">
        <v>1</v>
      </c>
      <c r="L88" s="397"/>
      <c r="M88" s="86" t="s">
        <v>71</v>
      </c>
      <c r="N88" s="397"/>
      <c r="O88" s="397"/>
      <c r="P88" s="714"/>
      <c r="Q88" s="472"/>
    </row>
    <row r="89" spans="1:17" ht="54">
      <c r="A89" s="587">
        <v>83</v>
      </c>
      <c r="B89" s="354" t="s">
        <v>75</v>
      </c>
      <c r="C89" s="808"/>
      <c r="D89" s="707" t="s">
        <v>59</v>
      </c>
      <c r="E89" s="90" t="s">
        <v>61</v>
      </c>
      <c r="F89" s="756">
        <v>18480</v>
      </c>
      <c r="G89" s="714" t="s">
        <v>23</v>
      </c>
      <c r="H89" s="714" t="s">
        <v>58</v>
      </c>
      <c r="I89" s="714">
        <v>1399</v>
      </c>
      <c r="J89" s="714" t="s">
        <v>25</v>
      </c>
      <c r="K89" s="130" t="s">
        <v>17</v>
      </c>
      <c r="L89" s="397" t="s">
        <v>35</v>
      </c>
      <c r="M89" s="86"/>
      <c r="N89" s="714" t="s">
        <v>1438</v>
      </c>
      <c r="O89" s="714" t="s">
        <v>1984</v>
      </c>
      <c r="P89" s="540" t="s">
        <v>17</v>
      </c>
      <c r="Q89" s="514"/>
    </row>
    <row r="90" spans="1:17" ht="54">
      <c r="A90" s="587">
        <v>84</v>
      </c>
      <c r="B90" s="354" t="s">
        <v>75</v>
      </c>
      <c r="C90" s="808"/>
      <c r="D90" s="707" t="s">
        <v>59</v>
      </c>
      <c r="E90" s="90" t="s">
        <v>429</v>
      </c>
      <c r="F90" s="756">
        <v>713513</v>
      </c>
      <c r="G90" s="714" t="s">
        <v>23</v>
      </c>
      <c r="H90" s="714" t="s">
        <v>58</v>
      </c>
      <c r="I90" s="714">
        <v>1399</v>
      </c>
      <c r="J90" s="714" t="s">
        <v>25</v>
      </c>
      <c r="K90" s="130">
        <v>1</v>
      </c>
      <c r="L90" s="86"/>
      <c r="M90" s="86" t="s">
        <v>71</v>
      </c>
      <c r="N90" s="397"/>
      <c r="O90" s="397"/>
      <c r="P90" s="714"/>
      <c r="Q90" s="514"/>
    </row>
    <row r="91" spans="1:17" ht="54">
      <c r="A91" s="587">
        <v>85</v>
      </c>
      <c r="B91" s="354" t="s">
        <v>75</v>
      </c>
      <c r="C91" s="808"/>
      <c r="D91" s="707" t="s">
        <v>59</v>
      </c>
      <c r="E91" s="349" t="s">
        <v>1187</v>
      </c>
      <c r="F91" s="756">
        <v>470501</v>
      </c>
      <c r="G91" s="714" t="s">
        <v>23</v>
      </c>
      <c r="H91" s="714" t="s">
        <v>58</v>
      </c>
      <c r="I91" s="714">
        <v>1399</v>
      </c>
      <c r="J91" s="714" t="s">
        <v>25</v>
      </c>
      <c r="K91" s="130">
        <v>1</v>
      </c>
      <c r="L91" s="397"/>
      <c r="M91" s="86" t="s">
        <v>71</v>
      </c>
      <c r="N91" s="397"/>
      <c r="O91" s="397"/>
      <c r="P91" s="714"/>
      <c r="Q91" s="471"/>
    </row>
    <row r="92" spans="1:17" ht="54">
      <c r="A92" s="587">
        <v>86</v>
      </c>
      <c r="B92" s="354" t="s">
        <v>75</v>
      </c>
      <c r="C92" s="808"/>
      <c r="D92" s="707" t="s">
        <v>59</v>
      </c>
      <c r="E92" s="349" t="s">
        <v>428</v>
      </c>
      <c r="F92" s="756">
        <v>133980</v>
      </c>
      <c r="G92" s="714" t="s">
        <v>23</v>
      </c>
      <c r="H92" s="714" t="s">
        <v>58</v>
      </c>
      <c r="I92" s="714">
        <v>1399</v>
      </c>
      <c r="J92" s="714" t="s">
        <v>25</v>
      </c>
      <c r="K92" s="60" t="s">
        <v>17</v>
      </c>
      <c r="L92" s="397" t="s">
        <v>35</v>
      </c>
      <c r="M92" s="86"/>
      <c r="N92" s="714" t="s">
        <v>1438</v>
      </c>
      <c r="O92" s="714" t="s">
        <v>1984</v>
      </c>
      <c r="P92" s="540"/>
      <c r="Q92" s="471"/>
    </row>
    <row r="93" spans="1:17" ht="54">
      <c r="A93" s="587">
        <v>87</v>
      </c>
      <c r="B93" s="354" t="s">
        <v>75</v>
      </c>
      <c r="C93" s="808"/>
      <c r="D93" s="707" t="s">
        <v>59</v>
      </c>
      <c r="E93" s="349" t="s">
        <v>427</v>
      </c>
      <c r="F93" s="756">
        <v>5084</v>
      </c>
      <c r="G93" s="714" t="s">
        <v>23</v>
      </c>
      <c r="H93" s="714" t="s">
        <v>58</v>
      </c>
      <c r="I93" s="714">
        <v>1399</v>
      </c>
      <c r="J93" s="714" t="s">
        <v>25</v>
      </c>
      <c r="K93" s="60">
        <v>1</v>
      </c>
      <c r="L93" s="397"/>
      <c r="M93" s="86" t="s">
        <v>71</v>
      </c>
      <c r="N93" s="397"/>
      <c r="O93" s="397"/>
      <c r="P93" s="714"/>
      <c r="Q93" s="471"/>
    </row>
    <row r="94" spans="1:17" ht="54">
      <c r="A94" s="587">
        <v>88</v>
      </c>
      <c r="B94" s="354" t="s">
        <v>75</v>
      </c>
      <c r="C94" s="808"/>
      <c r="D94" s="707" t="s">
        <v>59</v>
      </c>
      <c r="E94" s="349" t="s">
        <v>426</v>
      </c>
      <c r="F94" s="756">
        <v>4620</v>
      </c>
      <c r="G94" s="714" t="s">
        <v>23</v>
      </c>
      <c r="H94" s="714" t="s">
        <v>58</v>
      </c>
      <c r="I94" s="714">
        <v>1399</v>
      </c>
      <c r="J94" s="714" t="s">
        <v>25</v>
      </c>
      <c r="K94" s="60" t="s">
        <v>17</v>
      </c>
      <c r="L94" s="397" t="s">
        <v>35</v>
      </c>
      <c r="M94" s="86"/>
      <c r="N94" s="714" t="s">
        <v>1438</v>
      </c>
      <c r="O94" s="714" t="s">
        <v>1984</v>
      </c>
      <c r="P94" s="540"/>
      <c r="Q94" s="471"/>
    </row>
    <row r="95" spans="1:17" ht="54">
      <c r="A95" s="587">
        <v>89</v>
      </c>
      <c r="B95" s="354" t="s">
        <v>75</v>
      </c>
      <c r="C95" s="808"/>
      <c r="D95" s="707" t="s">
        <v>59</v>
      </c>
      <c r="E95" s="349" t="s">
        <v>425</v>
      </c>
      <c r="F95" s="756">
        <v>1109188</v>
      </c>
      <c r="G95" s="714" t="s">
        <v>23</v>
      </c>
      <c r="H95" s="714" t="s">
        <v>58</v>
      </c>
      <c r="I95" s="714">
        <v>1399</v>
      </c>
      <c r="J95" s="714" t="s">
        <v>25</v>
      </c>
      <c r="K95" s="60">
        <v>1</v>
      </c>
      <c r="L95" s="397"/>
      <c r="M95" s="86" t="s">
        <v>71</v>
      </c>
      <c r="N95" s="397"/>
      <c r="O95" s="397"/>
      <c r="P95" s="714"/>
      <c r="Q95" s="471"/>
    </row>
    <row r="96" spans="1:17" ht="54">
      <c r="A96" s="587">
        <v>90</v>
      </c>
      <c r="B96" s="354" t="s">
        <v>75</v>
      </c>
      <c r="C96" s="808"/>
      <c r="D96" s="707" t="s">
        <v>59</v>
      </c>
      <c r="E96" s="349" t="s">
        <v>424</v>
      </c>
      <c r="F96" s="756">
        <v>3407647</v>
      </c>
      <c r="G96" s="714" t="s">
        <v>23</v>
      </c>
      <c r="H96" s="714" t="s">
        <v>58</v>
      </c>
      <c r="I96" s="714">
        <v>1399</v>
      </c>
      <c r="J96" s="714" t="s">
        <v>25</v>
      </c>
      <c r="K96" s="757">
        <v>0.05</v>
      </c>
      <c r="L96" s="397"/>
      <c r="M96" s="86" t="s">
        <v>42</v>
      </c>
      <c r="N96" s="397"/>
      <c r="O96" s="397"/>
      <c r="P96" s="714"/>
      <c r="Q96" s="471"/>
    </row>
    <row r="97" spans="1:17" ht="54">
      <c r="A97" s="587">
        <v>91</v>
      </c>
      <c r="B97" s="354" t="s">
        <v>75</v>
      </c>
      <c r="C97" s="808"/>
      <c r="D97" s="707" t="s">
        <v>59</v>
      </c>
      <c r="E97" s="349" t="s">
        <v>423</v>
      </c>
      <c r="F97" s="756">
        <v>369600</v>
      </c>
      <c r="G97" s="714" t="s">
        <v>23</v>
      </c>
      <c r="H97" s="714" t="s">
        <v>58</v>
      </c>
      <c r="I97" s="714">
        <v>1399</v>
      </c>
      <c r="J97" s="714" t="s">
        <v>25</v>
      </c>
      <c r="K97" s="60">
        <v>0.5</v>
      </c>
      <c r="L97" s="397"/>
      <c r="M97" s="86" t="s">
        <v>42</v>
      </c>
      <c r="N97" s="397"/>
      <c r="O97" s="397"/>
      <c r="P97" s="540"/>
      <c r="Q97" s="471"/>
    </row>
    <row r="98" spans="1:17" ht="54">
      <c r="A98" s="587">
        <v>92</v>
      </c>
      <c r="B98" s="354" t="s">
        <v>75</v>
      </c>
      <c r="C98" s="808"/>
      <c r="D98" s="707" t="s">
        <v>59</v>
      </c>
      <c r="E98" s="349" t="s">
        <v>422</v>
      </c>
      <c r="F98" s="756">
        <v>1383727</v>
      </c>
      <c r="G98" s="714" t="s">
        <v>23</v>
      </c>
      <c r="H98" s="714" t="s">
        <v>58</v>
      </c>
      <c r="I98" s="714">
        <v>1399</v>
      </c>
      <c r="J98" s="714" t="s">
        <v>25</v>
      </c>
      <c r="K98" s="60" t="s">
        <v>17</v>
      </c>
      <c r="L98" s="397" t="s">
        <v>35</v>
      </c>
      <c r="M98" s="86"/>
      <c r="N98" s="714" t="s">
        <v>1438</v>
      </c>
      <c r="O98" s="90" t="s">
        <v>1984</v>
      </c>
      <c r="P98" s="540"/>
      <c r="Q98" s="471"/>
    </row>
    <row r="99" spans="1:17" ht="61.15" customHeight="1">
      <c r="A99" s="587">
        <v>93</v>
      </c>
      <c r="B99" s="354" t="s">
        <v>75</v>
      </c>
      <c r="C99" s="808"/>
      <c r="D99" s="707" t="s">
        <v>59</v>
      </c>
      <c r="E99" s="349" t="s">
        <v>421</v>
      </c>
      <c r="F99" s="756">
        <v>1460290</v>
      </c>
      <c r="G99" s="714" t="s">
        <v>23</v>
      </c>
      <c r="H99" s="714" t="s">
        <v>58</v>
      </c>
      <c r="I99" s="714">
        <v>1399</v>
      </c>
      <c r="J99" s="714" t="s">
        <v>25</v>
      </c>
      <c r="K99" s="60" t="s">
        <v>17</v>
      </c>
      <c r="L99" s="397" t="s">
        <v>35</v>
      </c>
      <c r="M99" s="86"/>
      <c r="N99" s="714" t="s">
        <v>1438</v>
      </c>
      <c r="O99" s="90" t="s">
        <v>1984</v>
      </c>
      <c r="P99" s="714"/>
      <c r="Q99" s="471"/>
    </row>
    <row r="100" spans="1:17" ht="54">
      <c r="A100" s="587">
        <v>94</v>
      </c>
      <c r="B100" s="354" t="s">
        <v>75</v>
      </c>
      <c r="C100" s="808"/>
      <c r="D100" s="707" t="s">
        <v>59</v>
      </c>
      <c r="E100" s="349" t="s">
        <v>1100</v>
      </c>
      <c r="F100" s="756">
        <v>656656</v>
      </c>
      <c r="G100" s="714" t="s">
        <v>23</v>
      </c>
      <c r="H100" s="714" t="s">
        <v>58</v>
      </c>
      <c r="I100" s="714">
        <v>1399</v>
      </c>
      <c r="J100" s="714" t="s">
        <v>25</v>
      </c>
      <c r="K100" s="60" t="s">
        <v>17</v>
      </c>
      <c r="L100" s="397" t="s">
        <v>35</v>
      </c>
      <c r="M100" s="86"/>
      <c r="N100" s="714" t="s">
        <v>1438</v>
      </c>
      <c r="O100" s="90" t="s">
        <v>1984</v>
      </c>
      <c r="P100" s="714"/>
      <c r="Q100" s="471"/>
    </row>
    <row r="101" spans="1:17" ht="54">
      <c r="A101" s="587">
        <v>95</v>
      </c>
      <c r="B101" s="354" t="s">
        <v>75</v>
      </c>
      <c r="C101" s="808"/>
      <c r="D101" s="707" t="s">
        <v>59</v>
      </c>
      <c r="E101" s="349" t="s">
        <v>62</v>
      </c>
      <c r="F101" s="756">
        <v>4297524</v>
      </c>
      <c r="G101" s="714" t="s">
        <v>23</v>
      </c>
      <c r="H101" s="714" t="s">
        <v>58</v>
      </c>
      <c r="I101" s="714">
        <v>1399</v>
      </c>
      <c r="J101" s="714" t="s">
        <v>25</v>
      </c>
      <c r="K101" s="60">
        <v>0</v>
      </c>
      <c r="L101" s="397"/>
      <c r="M101" s="86" t="s">
        <v>81</v>
      </c>
      <c r="N101" s="397"/>
      <c r="O101" s="397"/>
      <c r="P101" s="714"/>
      <c r="Q101" s="471"/>
    </row>
    <row r="102" spans="1:17" ht="54">
      <c r="A102" s="587">
        <v>96</v>
      </c>
      <c r="B102" s="354" t="s">
        <v>75</v>
      </c>
      <c r="C102" s="808"/>
      <c r="D102" s="707" t="s">
        <v>59</v>
      </c>
      <c r="E102" s="349" t="s">
        <v>420</v>
      </c>
      <c r="F102" s="756">
        <v>929310</v>
      </c>
      <c r="G102" s="714" t="s">
        <v>23</v>
      </c>
      <c r="H102" s="714" t="s">
        <v>58</v>
      </c>
      <c r="I102" s="714">
        <v>1399</v>
      </c>
      <c r="J102" s="714" t="s">
        <v>25</v>
      </c>
      <c r="K102" s="60">
        <v>0</v>
      </c>
      <c r="L102" s="397"/>
      <c r="M102" s="86" t="s">
        <v>81</v>
      </c>
      <c r="N102" s="397"/>
      <c r="O102" s="397"/>
      <c r="P102" s="540"/>
      <c r="Q102" s="471"/>
    </row>
    <row r="103" spans="1:17" ht="54">
      <c r="A103" s="587">
        <v>97</v>
      </c>
      <c r="B103" s="354" t="s">
        <v>75</v>
      </c>
      <c r="C103" s="808"/>
      <c r="D103" s="707" t="s">
        <v>59</v>
      </c>
      <c r="E103" s="349" t="s">
        <v>1439</v>
      </c>
      <c r="F103" s="756">
        <v>1155000</v>
      </c>
      <c r="G103" s="714" t="s">
        <v>23</v>
      </c>
      <c r="H103" s="714" t="s">
        <v>58</v>
      </c>
      <c r="I103" s="714">
        <v>1399</v>
      </c>
      <c r="J103" s="714" t="s">
        <v>25</v>
      </c>
      <c r="K103" s="60">
        <v>0</v>
      </c>
      <c r="L103" s="397"/>
      <c r="M103" s="86" t="s">
        <v>81</v>
      </c>
      <c r="N103" s="397"/>
      <c r="O103" s="397"/>
      <c r="P103" s="540"/>
      <c r="Q103" s="471"/>
    </row>
    <row r="104" spans="1:17" ht="54">
      <c r="A104" s="587">
        <v>98</v>
      </c>
      <c r="B104" s="354" t="s">
        <v>75</v>
      </c>
      <c r="C104" s="808"/>
      <c r="D104" s="707" t="s">
        <v>59</v>
      </c>
      <c r="E104" s="349" t="s">
        <v>1190</v>
      </c>
      <c r="F104" s="756">
        <v>10827500</v>
      </c>
      <c r="G104" s="714" t="s">
        <v>23</v>
      </c>
      <c r="H104" s="714" t="s">
        <v>58</v>
      </c>
      <c r="I104" s="714">
        <v>1399</v>
      </c>
      <c r="J104" s="714" t="s">
        <v>25</v>
      </c>
      <c r="K104" s="60" t="s">
        <v>17</v>
      </c>
      <c r="L104" s="397" t="s">
        <v>35</v>
      </c>
      <c r="M104" s="86"/>
      <c r="N104" s="714" t="s">
        <v>1438</v>
      </c>
      <c r="O104" s="90" t="s">
        <v>1984</v>
      </c>
      <c r="P104" s="714"/>
      <c r="Q104" s="471"/>
    </row>
    <row r="105" spans="1:17" ht="54">
      <c r="A105" s="587">
        <v>99</v>
      </c>
      <c r="B105" s="354" t="s">
        <v>75</v>
      </c>
      <c r="C105" s="808"/>
      <c r="D105" s="707" t="s">
        <v>59</v>
      </c>
      <c r="E105" s="349" t="s">
        <v>1440</v>
      </c>
      <c r="F105" s="756">
        <v>19287963</v>
      </c>
      <c r="G105" s="714" t="s">
        <v>23</v>
      </c>
      <c r="H105" s="714" t="s">
        <v>58</v>
      </c>
      <c r="I105" s="714">
        <v>1399</v>
      </c>
      <c r="J105" s="714" t="s">
        <v>25</v>
      </c>
      <c r="K105" s="60">
        <v>1</v>
      </c>
      <c r="L105" s="397"/>
      <c r="M105" s="86" t="s">
        <v>33</v>
      </c>
      <c r="N105" s="397"/>
      <c r="O105" s="397"/>
      <c r="P105" s="540"/>
      <c r="Q105" s="471"/>
    </row>
    <row r="106" spans="1:17" ht="54">
      <c r="A106" s="587">
        <v>100</v>
      </c>
      <c r="B106" s="354" t="s">
        <v>75</v>
      </c>
      <c r="C106" s="808"/>
      <c r="D106" s="707" t="s">
        <v>59</v>
      </c>
      <c r="E106" s="349" t="s">
        <v>64</v>
      </c>
      <c r="F106" s="756">
        <v>2640000</v>
      </c>
      <c r="G106" s="714" t="s">
        <v>23</v>
      </c>
      <c r="H106" s="714" t="s">
        <v>58</v>
      </c>
      <c r="I106" s="714">
        <v>1399</v>
      </c>
      <c r="J106" s="714" t="s">
        <v>25</v>
      </c>
      <c r="K106" s="60">
        <v>1</v>
      </c>
      <c r="L106" s="397"/>
      <c r="M106" s="86" t="s">
        <v>33</v>
      </c>
      <c r="N106" s="397"/>
      <c r="O106" s="397"/>
      <c r="P106" s="714"/>
      <c r="Q106" s="471"/>
    </row>
    <row r="107" spans="1:17" ht="54">
      <c r="A107" s="587">
        <v>101</v>
      </c>
      <c r="B107" s="354" t="s">
        <v>75</v>
      </c>
      <c r="C107" s="808"/>
      <c r="D107" s="707" t="s">
        <v>59</v>
      </c>
      <c r="E107" s="349" t="s">
        <v>65</v>
      </c>
      <c r="F107" s="756">
        <v>7150000</v>
      </c>
      <c r="G107" s="714" t="s">
        <v>23</v>
      </c>
      <c r="H107" s="714" t="s">
        <v>58</v>
      </c>
      <c r="I107" s="714">
        <v>1399</v>
      </c>
      <c r="J107" s="714" t="s">
        <v>25</v>
      </c>
      <c r="K107" s="60">
        <v>1</v>
      </c>
      <c r="L107" s="397"/>
      <c r="M107" s="86" t="s">
        <v>33</v>
      </c>
      <c r="N107" s="397"/>
      <c r="O107" s="397"/>
      <c r="P107" s="714"/>
      <c r="Q107" s="471"/>
    </row>
    <row r="108" spans="1:17" ht="54">
      <c r="A108" s="587">
        <v>102</v>
      </c>
      <c r="B108" s="354" t="s">
        <v>75</v>
      </c>
      <c r="C108" s="808"/>
      <c r="D108" s="707" t="s">
        <v>59</v>
      </c>
      <c r="E108" s="349" t="s">
        <v>419</v>
      </c>
      <c r="F108" s="756">
        <v>11370198</v>
      </c>
      <c r="G108" s="714" t="s">
        <v>23</v>
      </c>
      <c r="H108" s="714" t="s">
        <v>58</v>
      </c>
      <c r="I108" s="714">
        <v>1399</v>
      </c>
      <c r="J108" s="714" t="s">
        <v>25</v>
      </c>
      <c r="K108" s="60">
        <v>0</v>
      </c>
      <c r="L108" s="397"/>
      <c r="M108" s="86" t="s">
        <v>81</v>
      </c>
      <c r="N108" s="397"/>
      <c r="O108" s="397"/>
      <c r="P108" s="714"/>
      <c r="Q108" s="471"/>
    </row>
    <row r="109" spans="1:17" ht="54">
      <c r="A109" s="587">
        <v>103</v>
      </c>
      <c r="B109" s="354" t="s">
        <v>75</v>
      </c>
      <c r="C109" s="809"/>
      <c r="D109" s="707" t="s">
        <v>59</v>
      </c>
      <c r="E109" s="349" t="s">
        <v>66</v>
      </c>
      <c r="F109" s="756">
        <v>1348270</v>
      </c>
      <c r="G109" s="714" t="s">
        <v>23</v>
      </c>
      <c r="H109" s="714" t="s">
        <v>58</v>
      </c>
      <c r="I109" s="714">
        <v>1399</v>
      </c>
      <c r="J109" s="714" t="s">
        <v>25</v>
      </c>
      <c r="K109" s="60">
        <v>1</v>
      </c>
      <c r="L109" s="397"/>
      <c r="M109" s="86" t="s">
        <v>71</v>
      </c>
      <c r="N109" s="397"/>
      <c r="O109" s="397"/>
      <c r="P109" s="714"/>
      <c r="Q109" s="471"/>
    </row>
    <row r="110" spans="1:17" ht="61.5" customHeight="1">
      <c r="A110" s="587">
        <v>104</v>
      </c>
      <c r="B110" s="354" t="s">
        <v>75</v>
      </c>
      <c r="C110" s="354"/>
      <c r="D110" s="560" t="s">
        <v>73</v>
      </c>
      <c r="E110" s="237" t="s">
        <v>74</v>
      </c>
      <c r="F110" s="30">
        <v>1038540.438</v>
      </c>
      <c r="G110" s="561" t="s">
        <v>23</v>
      </c>
      <c r="H110" s="561" t="s">
        <v>77</v>
      </c>
      <c r="I110" s="561">
        <v>1399</v>
      </c>
      <c r="J110" s="561" t="s">
        <v>25</v>
      </c>
      <c r="K110" s="265"/>
      <c r="L110" s="561" t="s">
        <v>72</v>
      </c>
      <c r="M110" s="440"/>
      <c r="N110" s="658" t="s">
        <v>581</v>
      </c>
      <c r="O110" s="560" t="s">
        <v>1832</v>
      </c>
      <c r="P110" s="560"/>
    </row>
    <row r="111" spans="1:17" s="559" customFormat="1" ht="108" customHeight="1">
      <c r="A111" s="587">
        <v>105</v>
      </c>
      <c r="B111" s="237" t="s">
        <v>20</v>
      </c>
      <c r="C111" s="196"/>
      <c r="D111" s="196" t="s">
        <v>1473</v>
      </c>
      <c r="E111" s="237" t="s">
        <v>1013</v>
      </c>
      <c r="F111" s="259">
        <v>385370</v>
      </c>
      <c r="G111" s="354" t="s">
        <v>23</v>
      </c>
      <c r="H111" s="476" t="s">
        <v>24</v>
      </c>
      <c r="I111" s="354">
        <v>1399</v>
      </c>
      <c r="J111" s="556" t="s">
        <v>25</v>
      </c>
      <c r="K111" s="163">
        <v>0.95</v>
      </c>
      <c r="L111" s="33"/>
      <c r="M111" s="33" t="s">
        <v>554</v>
      </c>
      <c r="N111" s="33"/>
      <c r="O111" s="236"/>
      <c r="P111" s="560"/>
    </row>
    <row r="112" spans="1:17" ht="70.150000000000006" customHeight="1">
      <c r="A112" s="587">
        <v>106</v>
      </c>
      <c r="B112" s="354" t="s">
        <v>75</v>
      </c>
      <c r="C112" s="354"/>
      <c r="D112" s="560" t="s">
        <v>73</v>
      </c>
      <c r="E112" s="237" t="s">
        <v>97</v>
      </c>
      <c r="F112" s="30">
        <v>1282840</v>
      </c>
      <c r="G112" s="561" t="s">
        <v>23</v>
      </c>
      <c r="H112" s="561" t="s">
        <v>77</v>
      </c>
      <c r="I112" s="561">
        <v>1399</v>
      </c>
      <c r="J112" s="561" t="s">
        <v>25</v>
      </c>
      <c r="K112" s="265"/>
      <c r="L112" s="561" t="s">
        <v>72</v>
      </c>
      <c r="M112" s="440"/>
      <c r="N112" s="623" t="s">
        <v>581</v>
      </c>
      <c r="O112" s="655" t="s">
        <v>1832</v>
      </c>
      <c r="P112" s="560"/>
    </row>
    <row r="115" spans="1:15">
      <c r="A115" s="198"/>
      <c r="B115" s="198"/>
      <c r="C115" s="198"/>
      <c r="E115" s="198"/>
      <c r="H115" s="198"/>
      <c r="I115" s="198"/>
      <c r="J115" s="198"/>
      <c r="K115" s="198"/>
      <c r="M115" s="198"/>
      <c r="O115" s="198"/>
    </row>
  </sheetData>
  <mergeCells count="17">
    <mergeCell ref="C74:C80"/>
    <mergeCell ref="C85:C109"/>
    <mergeCell ref="K5:K6"/>
    <mergeCell ref="L5:M5"/>
    <mergeCell ref="N5:N6"/>
    <mergeCell ref="O5:O6"/>
    <mergeCell ref="A1:P4"/>
    <mergeCell ref="A5:A6"/>
    <mergeCell ref="B5:B6"/>
    <mergeCell ref="C5:C6"/>
    <mergeCell ref="D5:D6"/>
    <mergeCell ref="E5:E6"/>
    <mergeCell ref="F5:G5"/>
    <mergeCell ref="H5:H6"/>
    <mergeCell ref="I5:I6"/>
    <mergeCell ref="J5:J6"/>
    <mergeCell ref="P5:P6"/>
  </mergeCells>
  <printOptions horizontalCentered="1"/>
  <pageMargins left="0.2" right="0.2" top="0.5" bottom="0.5" header="0.3" footer="0.3"/>
  <pageSetup paperSize="9" scale="60" orientation="landscape" r:id="rId1"/>
  <headerFooter>
    <oddFooter>&amp;C&amp;P</oddFooter>
  </headerFooter>
</worksheet>
</file>

<file path=xl/worksheets/sheet32.xml><?xml version="1.0" encoding="utf-8"?>
<worksheet xmlns="http://schemas.openxmlformats.org/spreadsheetml/2006/main" xmlns:r="http://schemas.openxmlformats.org/officeDocument/2006/relationships">
  <sheetPr>
    <tabColor rgb="FF92D050"/>
  </sheetPr>
  <dimension ref="A1:R69"/>
  <sheetViews>
    <sheetView rightToLeft="1" view="pageBreakPreview" zoomScale="89" zoomScaleSheetLayoutView="89" workbookViewId="0">
      <pane ySplit="6" topLeftCell="A58" activePane="bottomLeft" state="frozen"/>
      <selection pane="bottomLeft" activeCell="K63" sqref="K63"/>
    </sheetView>
  </sheetViews>
  <sheetFormatPr defaultColWidth="9.140625" defaultRowHeight="15"/>
  <cols>
    <col min="1" max="1" width="6.7109375" style="1" customWidth="1"/>
    <col min="2" max="2" width="13.85546875" style="10" customWidth="1"/>
    <col min="3" max="3" width="8.5703125" style="10" customWidth="1"/>
    <col min="4" max="4" width="13.85546875" style="10" customWidth="1"/>
    <col min="5" max="5" width="34.7109375" style="10" customWidth="1"/>
    <col min="6" max="6" width="18.140625" style="2" customWidth="1"/>
    <col min="7" max="7" width="8.42578125" style="2" customWidth="1"/>
    <col min="8" max="8" width="11.140625" style="2" customWidth="1"/>
    <col min="9" max="9" width="11.140625" style="1" customWidth="1"/>
    <col min="10" max="10" width="12.28515625" style="1" customWidth="1"/>
    <col min="11" max="11" width="14.5703125" style="181" customWidth="1"/>
    <col min="12" max="12" width="10.42578125" style="9" customWidth="1"/>
    <col min="13" max="13" width="11.85546875" style="9" customWidth="1"/>
    <col min="14" max="14" width="21.28515625" style="9" customWidth="1"/>
    <col min="15" max="15" width="12.7109375" style="9" customWidth="1"/>
    <col min="16" max="16" width="18.42578125" style="145" customWidth="1"/>
    <col min="17" max="16384" width="9.140625" style="145"/>
  </cols>
  <sheetData>
    <row r="1" spans="1:16">
      <c r="A1" s="788" t="s">
        <v>1985</v>
      </c>
      <c r="B1" s="789"/>
      <c r="C1" s="789"/>
      <c r="D1" s="789"/>
      <c r="E1" s="789"/>
      <c r="F1" s="789"/>
      <c r="G1" s="789"/>
      <c r="H1" s="789"/>
      <c r="I1" s="789"/>
      <c r="J1" s="789"/>
      <c r="K1" s="789"/>
      <c r="L1" s="789"/>
      <c r="M1" s="789"/>
      <c r="N1" s="789"/>
      <c r="O1" s="789"/>
      <c r="P1" s="789"/>
    </row>
    <row r="2" spans="1:16">
      <c r="A2" s="789"/>
      <c r="B2" s="789"/>
      <c r="C2" s="789"/>
      <c r="D2" s="789"/>
      <c r="E2" s="789"/>
      <c r="F2" s="789"/>
      <c r="G2" s="789"/>
      <c r="H2" s="789"/>
      <c r="I2" s="789"/>
      <c r="J2" s="789"/>
      <c r="K2" s="789"/>
      <c r="L2" s="789"/>
      <c r="M2" s="789"/>
      <c r="N2" s="789"/>
      <c r="O2" s="789"/>
      <c r="P2" s="789"/>
    </row>
    <row r="3" spans="1:16">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24.6" customHeight="1">
      <c r="A5" s="820" t="s">
        <v>0</v>
      </c>
      <c r="B5" s="892" t="s">
        <v>14</v>
      </c>
      <c r="C5" s="892" t="s">
        <v>19</v>
      </c>
      <c r="D5" s="892" t="s">
        <v>1</v>
      </c>
      <c r="E5" s="892" t="s">
        <v>15</v>
      </c>
      <c r="F5" s="820" t="s">
        <v>9</v>
      </c>
      <c r="G5" s="820"/>
      <c r="H5" s="820"/>
      <c r="I5" s="820" t="s">
        <v>7</v>
      </c>
      <c r="J5" s="820" t="s">
        <v>6</v>
      </c>
      <c r="K5" s="820" t="s">
        <v>16</v>
      </c>
      <c r="L5" s="892" t="s">
        <v>2</v>
      </c>
      <c r="M5" s="892"/>
      <c r="N5" s="892" t="s">
        <v>5</v>
      </c>
      <c r="O5" s="892" t="s">
        <v>13</v>
      </c>
      <c r="P5" s="820" t="s">
        <v>8</v>
      </c>
    </row>
    <row r="6" spans="1:16" ht="49.9" customHeight="1">
      <c r="A6" s="820"/>
      <c r="B6" s="892"/>
      <c r="C6" s="892"/>
      <c r="D6" s="892"/>
      <c r="E6" s="892"/>
      <c r="F6" s="151" t="s">
        <v>10</v>
      </c>
      <c r="G6" s="151" t="s">
        <v>11</v>
      </c>
      <c r="H6" s="151" t="s">
        <v>12</v>
      </c>
      <c r="I6" s="820"/>
      <c r="J6" s="820"/>
      <c r="K6" s="820"/>
      <c r="L6" s="197" t="s">
        <v>3</v>
      </c>
      <c r="M6" s="197" t="s">
        <v>4</v>
      </c>
      <c r="N6" s="892"/>
      <c r="O6" s="892"/>
      <c r="P6" s="820"/>
    </row>
    <row r="7" spans="1:16" s="5" customFormat="1" ht="56.25" customHeight="1">
      <c r="A7" s="571">
        <v>1</v>
      </c>
      <c r="B7" s="164" t="s">
        <v>20</v>
      </c>
      <c r="C7" s="164" t="s">
        <v>1513</v>
      </c>
      <c r="D7" s="196" t="s">
        <v>320</v>
      </c>
      <c r="E7" s="40" t="s">
        <v>1514</v>
      </c>
      <c r="F7" s="37">
        <v>130466.66666666667</v>
      </c>
      <c r="G7" s="584" t="s">
        <v>23</v>
      </c>
      <c r="H7" s="571" t="s">
        <v>77</v>
      </c>
      <c r="I7" s="571">
        <v>1399</v>
      </c>
      <c r="J7" s="571" t="s">
        <v>25</v>
      </c>
      <c r="K7" s="621">
        <v>1</v>
      </c>
      <c r="L7" s="622"/>
      <c r="M7" s="164" t="s">
        <v>33</v>
      </c>
      <c r="N7" s="164"/>
      <c r="O7" s="164"/>
      <c r="P7" s="571"/>
    </row>
    <row r="8" spans="1:16" s="5" customFormat="1" ht="127.9" customHeight="1">
      <c r="A8" s="571">
        <v>2</v>
      </c>
      <c r="B8" s="164" t="s">
        <v>20</v>
      </c>
      <c r="C8" s="164" t="s">
        <v>1784</v>
      </c>
      <c r="D8" s="576" t="s">
        <v>1785</v>
      </c>
      <c r="E8" s="576" t="s">
        <v>1741</v>
      </c>
      <c r="F8" s="184">
        <v>34309991</v>
      </c>
      <c r="G8" s="584" t="s">
        <v>23</v>
      </c>
      <c r="H8" s="571" t="s">
        <v>77</v>
      </c>
      <c r="I8" s="571">
        <v>1399</v>
      </c>
      <c r="J8" s="571" t="s">
        <v>25</v>
      </c>
      <c r="K8" s="621">
        <v>1</v>
      </c>
      <c r="L8" s="164"/>
      <c r="M8" s="164" t="s">
        <v>33</v>
      </c>
      <c r="N8" s="164"/>
      <c r="O8" s="164"/>
      <c r="P8" s="571"/>
    </row>
    <row r="9" spans="1:16" s="574" customFormat="1" ht="36">
      <c r="A9" s="585">
        <v>3</v>
      </c>
      <c r="B9" s="349" t="s">
        <v>20</v>
      </c>
      <c r="C9" s="349" t="s">
        <v>1786</v>
      </c>
      <c r="D9" s="349" t="s">
        <v>1523</v>
      </c>
      <c r="E9" s="576" t="s">
        <v>1787</v>
      </c>
      <c r="F9" s="184">
        <v>4823468</v>
      </c>
      <c r="G9" s="584" t="s">
        <v>23</v>
      </c>
      <c r="H9" s="571" t="s">
        <v>77</v>
      </c>
      <c r="I9" s="571">
        <v>1399</v>
      </c>
      <c r="J9" s="571" t="s">
        <v>25</v>
      </c>
      <c r="K9" s="183">
        <v>1</v>
      </c>
      <c r="L9" s="164" t="s">
        <v>17</v>
      </c>
      <c r="M9" s="164" t="s">
        <v>33</v>
      </c>
      <c r="N9" s="164"/>
      <c r="O9" s="164"/>
      <c r="P9" s="571"/>
    </row>
    <row r="10" spans="1:16" ht="60.75" customHeight="1">
      <c r="A10" s="672">
        <v>4</v>
      </c>
      <c r="B10" s="164" t="s">
        <v>20</v>
      </c>
      <c r="C10" s="164"/>
      <c r="D10" s="152" t="s">
        <v>28</v>
      </c>
      <c r="E10" s="152" t="s">
        <v>157</v>
      </c>
      <c r="F10" s="184">
        <v>135000</v>
      </c>
      <c r="G10" s="80" t="s">
        <v>23</v>
      </c>
      <c r="H10" s="21" t="s">
        <v>77</v>
      </c>
      <c r="I10" s="21">
        <v>1399</v>
      </c>
      <c r="J10" s="21" t="s">
        <v>25</v>
      </c>
      <c r="K10" s="183">
        <v>1</v>
      </c>
      <c r="L10" s="152"/>
      <c r="M10" s="164" t="s">
        <v>33</v>
      </c>
      <c r="N10" s="401"/>
      <c r="O10" s="152"/>
      <c r="P10" s="80"/>
    </row>
    <row r="11" spans="1:16" ht="52.9" customHeight="1">
      <c r="A11" s="672">
        <v>5</v>
      </c>
      <c r="B11" s="164" t="s">
        <v>20</v>
      </c>
      <c r="C11" s="164"/>
      <c r="D11" s="152" t="s">
        <v>28</v>
      </c>
      <c r="E11" s="152" t="s">
        <v>418</v>
      </c>
      <c r="F11" s="184">
        <v>5880000</v>
      </c>
      <c r="G11" s="80" t="s">
        <v>23</v>
      </c>
      <c r="H11" s="21" t="s">
        <v>77</v>
      </c>
      <c r="I11" s="21">
        <v>1399</v>
      </c>
      <c r="J11" s="21" t="s">
        <v>25</v>
      </c>
      <c r="K11" s="183">
        <v>1</v>
      </c>
      <c r="L11" s="152"/>
      <c r="M11" s="164" t="s">
        <v>33</v>
      </c>
      <c r="N11" s="401"/>
      <c r="O11" s="152"/>
      <c r="P11" s="80" t="s">
        <v>17</v>
      </c>
    </row>
    <row r="12" spans="1:16" ht="54.6" customHeight="1">
      <c r="A12" s="672">
        <v>6</v>
      </c>
      <c r="B12" s="164" t="s">
        <v>20</v>
      </c>
      <c r="C12" s="164"/>
      <c r="D12" s="152" t="s">
        <v>116</v>
      </c>
      <c r="E12" s="152" t="s">
        <v>22</v>
      </c>
      <c r="F12" s="184">
        <v>640000</v>
      </c>
      <c r="G12" s="80" t="s">
        <v>23</v>
      </c>
      <c r="H12" s="21" t="s">
        <v>77</v>
      </c>
      <c r="I12" s="21">
        <v>1399</v>
      </c>
      <c r="J12" s="21" t="s">
        <v>25</v>
      </c>
      <c r="K12" s="183">
        <v>1</v>
      </c>
      <c r="L12" s="152"/>
      <c r="M12" s="164" t="s">
        <v>33</v>
      </c>
      <c r="N12" s="401"/>
      <c r="O12" s="152"/>
      <c r="P12" s="80"/>
    </row>
    <row r="13" spans="1:16" ht="61.9" customHeight="1">
      <c r="A13" s="672">
        <v>7</v>
      </c>
      <c r="B13" s="164" t="s">
        <v>20</v>
      </c>
      <c r="C13" s="164"/>
      <c r="D13" s="152" t="s">
        <v>116</v>
      </c>
      <c r="E13" s="152" t="s">
        <v>131</v>
      </c>
      <c r="F13" s="184">
        <v>17000</v>
      </c>
      <c r="G13" s="80" t="s">
        <v>23</v>
      </c>
      <c r="H13" s="21" t="s">
        <v>77</v>
      </c>
      <c r="I13" s="21">
        <v>1399</v>
      </c>
      <c r="J13" s="21" t="s">
        <v>25</v>
      </c>
      <c r="K13" s="183">
        <v>1</v>
      </c>
      <c r="L13" s="152"/>
      <c r="M13" s="164" t="s">
        <v>33</v>
      </c>
      <c r="N13" s="401"/>
      <c r="O13" s="152"/>
      <c r="P13" s="80"/>
    </row>
    <row r="14" spans="1:16" ht="55.15" customHeight="1">
      <c r="A14" s="672">
        <v>8</v>
      </c>
      <c r="B14" s="164" t="s">
        <v>20</v>
      </c>
      <c r="C14" s="164"/>
      <c r="D14" s="152" t="s">
        <v>31</v>
      </c>
      <c r="E14" s="152" t="s">
        <v>119</v>
      </c>
      <c r="F14" s="184">
        <v>452500</v>
      </c>
      <c r="G14" s="80" t="s">
        <v>23</v>
      </c>
      <c r="H14" s="21" t="s">
        <v>77</v>
      </c>
      <c r="I14" s="21">
        <v>1399</v>
      </c>
      <c r="J14" s="21" t="s">
        <v>25</v>
      </c>
      <c r="K14" s="183">
        <v>1</v>
      </c>
      <c r="L14" s="186"/>
      <c r="M14" s="164" t="s">
        <v>33</v>
      </c>
      <c r="N14" s="186"/>
      <c r="O14" s="164"/>
      <c r="P14" s="80"/>
    </row>
    <row r="15" spans="1:16" ht="54">
      <c r="A15" s="672">
        <v>9</v>
      </c>
      <c r="B15" s="164" t="s">
        <v>20</v>
      </c>
      <c r="C15" s="164"/>
      <c r="D15" s="152" t="s">
        <v>31</v>
      </c>
      <c r="E15" s="152" t="s">
        <v>120</v>
      </c>
      <c r="F15" s="184">
        <v>535910</v>
      </c>
      <c r="G15" s="80" t="s">
        <v>23</v>
      </c>
      <c r="H15" s="21" t="s">
        <v>77</v>
      </c>
      <c r="I15" s="21">
        <v>1399</v>
      </c>
      <c r="J15" s="21" t="s">
        <v>25</v>
      </c>
      <c r="K15" s="183">
        <v>1</v>
      </c>
      <c r="L15" s="186"/>
      <c r="M15" s="164" t="s">
        <v>33</v>
      </c>
      <c r="N15" s="186"/>
      <c r="O15" s="164"/>
      <c r="P15" s="80"/>
    </row>
    <row r="16" spans="1:16" ht="54">
      <c r="A16" s="672">
        <v>10</v>
      </c>
      <c r="B16" s="164" t="s">
        <v>20</v>
      </c>
      <c r="C16" s="164"/>
      <c r="D16" s="152" t="s">
        <v>31</v>
      </c>
      <c r="E16" s="152" t="s">
        <v>121</v>
      </c>
      <c r="F16" s="184">
        <v>294280</v>
      </c>
      <c r="G16" s="80" t="s">
        <v>23</v>
      </c>
      <c r="H16" s="21" t="s">
        <v>77</v>
      </c>
      <c r="I16" s="21">
        <v>1399</v>
      </c>
      <c r="J16" s="21" t="s">
        <v>25</v>
      </c>
      <c r="K16" s="183">
        <v>1</v>
      </c>
      <c r="L16" s="186"/>
      <c r="M16" s="186" t="s">
        <v>33</v>
      </c>
      <c r="N16" s="186"/>
      <c r="O16" s="164"/>
      <c r="P16" s="80"/>
    </row>
    <row r="17" spans="1:18" ht="54">
      <c r="A17" s="672">
        <v>11</v>
      </c>
      <c r="B17" s="164" t="s">
        <v>20</v>
      </c>
      <c r="C17" s="164"/>
      <c r="D17" s="152" t="s">
        <v>31</v>
      </c>
      <c r="E17" s="164" t="s">
        <v>417</v>
      </c>
      <c r="F17" s="195">
        <f>58333*3</f>
        <v>174999</v>
      </c>
      <c r="G17" s="21" t="s">
        <v>23</v>
      </c>
      <c r="H17" s="21" t="s">
        <v>77</v>
      </c>
      <c r="I17" s="21">
        <v>1399</v>
      </c>
      <c r="J17" s="21" t="s">
        <v>25</v>
      </c>
      <c r="K17" s="183">
        <v>1</v>
      </c>
      <c r="L17" s="194"/>
      <c r="M17" s="186" t="s">
        <v>33</v>
      </c>
      <c r="N17" s="186"/>
      <c r="O17" s="152"/>
      <c r="P17" s="80"/>
    </row>
    <row r="18" spans="1:18" ht="53.45" customHeight="1">
      <c r="A18" s="672">
        <v>12</v>
      </c>
      <c r="B18" s="164" t="s">
        <v>20</v>
      </c>
      <c r="C18" s="164"/>
      <c r="D18" s="152" t="s">
        <v>40</v>
      </c>
      <c r="E18" s="164" t="s">
        <v>133</v>
      </c>
      <c r="F18" s="184">
        <v>1413600</v>
      </c>
      <c r="G18" s="80" t="s">
        <v>23</v>
      </c>
      <c r="H18" s="21" t="s">
        <v>41</v>
      </c>
      <c r="I18" s="21">
        <v>1399</v>
      </c>
      <c r="J18" s="21" t="s">
        <v>25</v>
      </c>
      <c r="K18" s="183">
        <v>1</v>
      </c>
      <c r="L18" s="186"/>
      <c r="M18" s="186" t="s">
        <v>33</v>
      </c>
      <c r="N18" s="186"/>
      <c r="O18" s="192"/>
      <c r="P18" s="891"/>
    </row>
    <row r="19" spans="1:18" ht="54">
      <c r="A19" s="672">
        <v>13</v>
      </c>
      <c r="B19" s="164" t="s">
        <v>20</v>
      </c>
      <c r="C19" s="164"/>
      <c r="D19" s="152" t="s">
        <v>40</v>
      </c>
      <c r="E19" s="164" t="s">
        <v>158</v>
      </c>
      <c r="F19" s="184">
        <v>7544160</v>
      </c>
      <c r="G19" s="80" t="s">
        <v>23</v>
      </c>
      <c r="H19" s="21" t="s">
        <v>41</v>
      </c>
      <c r="I19" s="21">
        <v>1399</v>
      </c>
      <c r="J19" s="21" t="s">
        <v>25</v>
      </c>
      <c r="K19" s="183">
        <v>1</v>
      </c>
      <c r="L19" s="186"/>
      <c r="M19" s="186" t="s">
        <v>33</v>
      </c>
      <c r="N19" s="186"/>
      <c r="O19" s="152"/>
      <c r="P19" s="891"/>
    </row>
    <row r="20" spans="1:18" ht="52.15" customHeight="1">
      <c r="A20" s="672">
        <v>14</v>
      </c>
      <c r="B20" s="164" t="s">
        <v>20</v>
      </c>
      <c r="C20" s="164"/>
      <c r="D20" s="152" t="s">
        <v>40</v>
      </c>
      <c r="E20" s="164" t="s">
        <v>148</v>
      </c>
      <c r="F20" s="184"/>
      <c r="G20" s="80" t="s">
        <v>17</v>
      </c>
      <c r="H20" s="21" t="s">
        <v>17</v>
      </c>
      <c r="I20" s="21">
        <v>1399</v>
      </c>
      <c r="J20" s="21" t="s">
        <v>25</v>
      </c>
      <c r="K20" s="183">
        <v>1</v>
      </c>
      <c r="L20" s="186"/>
      <c r="M20" s="186" t="s">
        <v>33</v>
      </c>
      <c r="N20" s="186"/>
      <c r="O20" s="193"/>
      <c r="P20" s="400" t="s">
        <v>954</v>
      </c>
    </row>
    <row r="21" spans="1:18" ht="89.45" customHeight="1">
      <c r="A21" s="672">
        <v>15</v>
      </c>
      <c r="B21" s="164" t="s">
        <v>20</v>
      </c>
      <c r="C21" s="164"/>
      <c r="D21" s="152" t="s">
        <v>40</v>
      </c>
      <c r="E21" s="349" t="s">
        <v>84</v>
      </c>
      <c r="F21" s="184">
        <v>1697808</v>
      </c>
      <c r="G21" s="80" t="s">
        <v>23</v>
      </c>
      <c r="H21" s="21" t="s">
        <v>41</v>
      </c>
      <c r="I21" s="21">
        <v>1399</v>
      </c>
      <c r="J21" s="21" t="s">
        <v>25</v>
      </c>
      <c r="K21" s="183">
        <v>1</v>
      </c>
      <c r="L21" s="186" t="s">
        <v>947</v>
      </c>
      <c r="M21" s="186" t="s">
        <v>33</v>
      </c>
      <c r="N21" s="455" t="s">
        <v>325</v>
      </c>
      <c r="O21" s="22" t="s">
        <v>959</v>
      </c>
      <c r="P21" s="400"/>
    </row>
    <row r="22" spans="1:18" ht="81.599999999999994" customHeight="1">
      <c r="A22" s="672">
        <v>16</v>
      </c>
      <c r="B22" s="164" t="s">
        <v>20</v>
      </c>
      <c r="C22" s="164"/>
      <c r="D22" s="152" t="s">
        <v>40</v>
      </c>
      <c r="E22" s="191" t="s">
        <v>159</v>
      </c>
      <c r="F22" s="184">
        <v>511500</v>
      </c>
      <c r="G22" s="80" t="s">
        <v>23</v>
      </c>
      <c r="H22" s="21" t="s">
        <v>41</v>
      </c>
      <c r="I22" s="21">
        <v>1399</v>
      </c>
      <c r="J22" s="21" t="s">
        <v>25</v>
      </c>
      <c r="K22" s="183">
        <v>1</v>
      </c>
      <c r="L22" s="186" t="s">
        <v>947</v>
      </c>
      <c r="M22" s="186" t="s">
        <v>33</v>
      </c>
      <c r="N22" s="455" t="s">
        <v>325</v>
      </c>
      <c r="O22" s="22" t="s">
        <v>959</v>
      </c>
      <c r="P22" s="891"/>
    </row>
    <row r="23" spans="1:18" ht="83.45" customHeight="1">
      <c r="A23" s="672">
        <v>17</v>
      </c>
      <c r="B23" s="164" t="s">
        <v>20</v>
      </c>
      <c r="C23" s="164"/>
      <c r="D23" s="152" t="s">
        <v>40</v>
      </c>
      <c r="E23" s="191" t="s">
        <v>160</v>
      </c>
      <c r="F23" s="184">
        <v>343170</v>
      </c>
      <c r="G23" s="80" t="s">
        <v>23</v>
      </c>
      <c r="H23" s="21" t="s">
        <v>41</v>
      </c>
      <c r="I23" s="21">
        <v>1399</v>
      </c>
      <c r="J23" s="21" t="s">
        <v>25</v>
      </c>
      <c r="K23" s="183">
        <v>1</v>
      </c>
      <c r="L23" s="186" t="s">
        <v>947</v>
      </c>
      <c r="M23" s="186" t="s">
        <v>33</v>
      </c>
      <c r="N23" s="455" t="s">
        <v>325</v>
      </c>
      <c r="O23" s="22" t="s">
        <v>959</v>
      </c>
      <c r="P23" s="891"/>
    </row>
    <row r="24" spans="1:18" ht="84" customHeight="1">
      <c r="A24" s="672">
        <v>18</v>
      </c>
      <c r="B24" s="164" t="s">
        <v>20</v>
      </c>
      <c r="C24" s="164"/>
      <c r="D24" s="152" t="s">
        <v>40</v>
      </c>
      <c r="E24" s="164" t="s">
        <v>161</v>
      </c>
      <c r="F24" s="184">
        <v>1116000</v>
      </c>
      <c r="G24" s="80" t="s">
        <v>23</v>
      </c>
      <c r="H24" s="21" t="s">
        <v>41</v>
      </c>
      <c r="I24" s="21">
        <v>1399</v>
      </c>
      <c r="J24" s="21" t="s">
        <v>25</v>
      </c>
      <c r="K24" s="183">
        <v>1</v>
      </c>
      <c r="L24" s="186" t="s">
        <v>947</v>
      </c>
      <c r="M24" s="186" t="s">
        <v>33</v>
      </c>
      <c r="N24" s="455" t="s">
        <v>325</v>
      </c>
      <c r="O24" s="22" t="s">
        <v>959</v>
      </c>
      <c r="P24" s="891"/>
    </row>
    <row r="25" spans="1:18" ht="61.15" customHeight="1">
      <c r="A25" s="672">
        <v>19</v>
      </c>
      <c r="B25" s="164" t="s">
        <v>20</v>
      </c>
      <c r="C25" s="164"/>
      <c r="D25" s="152" t="s">
        <v>40</v>
      </c>
      <c r="E25" s="164" t="s">
        <v>416</v>
      </c>
      <c r="F25" s="184">
        <v>93240</v>
      </c>
      <c r="G25" s="80" t="s">
        <v>23</v>
      </c>
      <c r="H25" s="21" t="s">
        <v>41</v>
      </c>
      <c r="I25" s="21">
        <v>1399</v>
      </c>
      <c r="J25" s="21" t="s">
        <v>25</v>
      </c>
      <c r="K25" s="183">
        <v>1</v>
      </c>
      <c r="L25" s="186"/>
      <c r="M25" s="186" t="s">
        <v>33</v>
      </c>
      <c r="N25" s="186"/>
      <c r="O25" s="152"/>
      <c r="P25" s="80"/>
    </row>
    <row r="26" spans="1:18" ht="87" customHeight="1">
      <c r="A26" s="672">
        <v>20</v>
      </c>
      <c r="B26" s="164" t="s">
        <v>20</v>
      </c>
      <c r="C26" s="164"/>
      <c r="D26" s="152" t="s">
        <v>40</v>
      </c>
      <c r="E26" s="164" t="s">
        <v>415</v>
      </c>
      <c r="F26" s="184">
        <v>750000</v>
      </c>
      <c r="G26" s="80" t="s">
        <v>23</v>
      </c>
      <c r="H26" s="21" t="s">
        <v>41</v>
      </c>
      <c r="I26" s="21">
        <v>1399</v>
      </c>
      <c r="J26" s="21" t="s">
        <v>25</v>
      </c>
      <c r="K26" s="183">
        <v>1</v>
      </c>
      <c r="L26" s="186" t="s">
        <v>947</v>
      </c>
      <c r="M26" s="186" t="s">
        <v>33</v>
      </c>
      <c r="N26" s="455" t="s">
        <v>325</v>
      </c>
      <c r="O26" s="22" t="s">
        <v>959</v>
      </c>
      <c r="P26" s="80"/>
    </row>
    <row r="27" spans="1:18" ht="54" customHeight="1">
      <c r="A27" s="672">
        <v>21</v>
      </c>
      <c r="B27" s="164" t="s">
        <v>20</v>
      </c>
      <c r="C27" s="164"/>
      <c r="D27" s="152" t="s">
        <v>40</v>
      </c>
      <c r="E27" s="164" t="s">
        <v>414</v>
      </c>
      <c r="F27" s="184">
        <v>312480</v>
      </c>
      <c r="G27" s="80" t="s">
        <v>23</v>
      </c>
      <c r="H27" s="21" t="s">
        <v>41</v>
      </c>
      <c r="I27" s="21">
        <v>1399</v>
      </c>
      <c r="J27" s="21" t="s">
        <v>25</v>
      </c>
      <c r="K27" s="183">
        <v>1</v>
      </c>
      <c r="L27" s="186"/>
      <c r="M27" s="186" t="s">
        <v>33</v>
      </c>
      <c r="N27" s="186"/>
      <c r="O27" s="152"/>
      <c r="P27" s="891"/>
    </row>
    <row r="28" spans="1:18" ht="52.9" customHeight="1">
      <c r="A28" s="672">
        <v>22</v>
      </c>
      <c r="B28" s="164" t="s">
        <v>20</v>
      </c>
      <c r="C28" s="164"/>
      <c r="D28" s="152" t="s">
        <v>40</v>
      </c>
      <c r="E28" s="164" t="s">
        <v>162</v>
      </c>
      <c r="F28" s="184">
        <v>72900</v>
      </c>
      <c r="G28" s="80" t="s">
        <v>23</v>
      </c>
      <c r="H28" s="21" t="s">
        <v>41</v>
      </c>
      <c r="I28" s="21">
        <v>1399</v>
      </c>
      <c r="J28" s="21" t="s">
        <v>25</v>
      </c>
      <c r="K28" s="183">
        <v>1</v>
      </c>
      <c r="L28" s="186"/>
      <c r="M28" s="186" t="s">
        <v>33</v>
      </c>
      <c r="N28" s="186"/>
      <c r="O28" s="152"/>
      <c r="P28" s="891"/>
    </row>
    <row r="29" spans="1:18" ht="61.9" customHeight="1">
      <c r="A29" s="672">
        <v>23</v>
      </c>
      <c r="B29" s="164" t="s">
        <v>20</v>
      </c>
      <c r="C29" s="164"/>
      <c r="D29" s="152" t="s">
        <v>40</v>
      </c>
      <c r="E29" s="164" t="s">
        <v>163</v>
      </c>
      <c r="F29" s="184">
        <v>89280</v>
      </c>
      <c r="G29" s="80" t="s">
        <v>23</v>
      </c>
      <c r="H29" s="21" t="s">
        <v>41</v>
      </c>
      <c r="I29" s="21">
        <v>1399</v>
      </c>
      <c r="J29" s="21" t="s">
        <v>25</v>
      </c>
      <c r="K29" s="183">
        <v>1</v>
      </c>
      <c r="L29" s="186"/>
      <c r="M29" s="186" t="s">
        <v>33</v>
      </c>
      <c r="N29" s="190"/>
      <c r="O29" s="152"/>
      <c r="P29" s="891"/>
      <c r="Q29" s="806"/>
      <c r="R29" s="806"/>
    </row>
    <row r="30" spans="1:18" ht="84" customHeight="1">
      <c r="A30" s="672">
        <v>24</v>
      </c>
      <c r="B30" s="164" t="s">
        <v>20</v>
      </c>
      <c r="C30" s="164"/>
      <c r="D30" s="152" t="s">
        <v>40</v>
      </c>
      <c r="E30" s="164" t="s">
        <v>46</v>
      </c>
      <c r="F30" s="184">
        <v>262355</v>
      </c>
      <c r="G30" s="80" t="s">
        <v>23</v>
      </c>
      <c r="H30" s="21" t="s">
        <v>41</v>
      </c>
      <c r="I30" s="21">
        <v>1399</v>
      </c>
      <c r="J30" s="21" t="s">
        <v>25</v>
      </c>
      <c r="K30" s="183">
        <v>1</v>
      </c>
      <c r="L30" s="186" t="s">
        <v>947</v>
      </c>
      <c r="M30" s="186" t="s">
        <v>33</v>
      </c>
      <c r="N30" s="409" t="s">
        <v>325</v>
      </c>
      <c r="O30" s="21" t="s">
        <v>56</v>
      </c>
      <c r="P30" s="891"/>
    </row>
    <row r="31" spans="1:18" ht="46.15" customHeight="1">
      <c r="A31" s="672">
        <v>25</v>
      </c>
      <c r="B31" s="164" t="s">
        <v>20</v>
      </c>
      <c r="C31" s="164"/>
      <c r="D31" s="152" t="s">
        <v>40</v>
      </c>
      <c r="E31" s="164" t="s">
        <v>413</v>
      </c>
      <c r="F31" s="184">
        <v>303600</v>
      </c>
      <c r="G31" s="80" t="s">
        <v>23</v>
      </c>
      <c r="H31" s="21" t="s">
        <v>41</v>
      </c>
      <c r="I31" s="21">
        <v>1399</v>
      </c>
      <c r="J31" s="21" t="s">
        <v>25</v>
      </c>
      <c r="K31" s="183">
        <v>1</v>
      </c>
      <c r="L31" s="186"/>
      <c r="M31" s="186" t="s">
        <v>33</v>
      </c>
      <c r="N31" s="188"/>
      <c r="O31" s="152"/>
      <c r="P31" s="80"/>
    </row>
    <row r="32" spans="1:18" ht="57" customHeight="1">
      <c r="A32" s="672">
        <v>26</v>
      </c>
      <c r="B32" s="164" t="s">
        <v>20</v>
      </c>
      <c r="C32" s="164"/>
      <c r="D32" s="152" t="s">
        <v>40</v>
      </c>
      <c r="E32" s="164" t="s">
        <v>48</v>
      </c>
      <c r="F32" s="184">
        <v>85028</v>
      </c>
      <c r="G32" s="80" t="s">
        <v>23</v>
      </c>
      <c r="H32" s="21" t="s">
        <v>41</v>
      </c>
      <c r="I32" s="21">
        <v>1399</v>
      </c>
      <c r="J32" s="21" t="s">
        <v>25</v>
      </c>
      <c r="K32" s="183">
        <v>1</v>
      </c>
      <c r="L32" s="186"/>
      <c r="M32" s="186" t="s">
        <v>33</v>
      </c>
      <c r="N32" s="189"/>
      <c r="O32" s="152"/>
      <c r="P32" s="891"/>
    </row>
    <row r="33" spans="1:16" ht="79.900000000000006" customHeight="1">
      <c r="A33" s="672">
        <v>27</v>
      </c>
      <c r="B33" s="164" t="s">
        <v>20</v>
      </c>
      <c r="C33" s="164"/>
      <c r="D33" s="152" t="s">
        <v>40</v>
      </c>
      <c r="E33" s="40" t="s">
        <v>91</v>
      </c>
      <c r="F33" s="184">
        <v>104100</v>
      </c>
      <c r="G33" s="80" t="s">
        <v>23</v>
      </c>
      <c r="H33" s="21" t="s">
        <v>41</v>
      </c>
      <c r="I33" s="21">
        <v>1399</v>
      </c>
      <c r="J33" s="21" t="s">
        <v>25</v>
      </c>
      <c r="K33" s="183">
        <v>1</v>
      </c>
      <c r="L33" s="186" t="s">
        <v>947</v>
      </c>
      <c r="M33" s="186" t="s">
        <v>33</v>
      </c>
      <c r="N33" s="455" t="s">
        <v>325</v>
      </c>
      <c r="O33" s="22" t="s">
        <v>959</v>
      </c>
      <c r="P33" s="891"/>
    </row>
    <row r="34" spans="1:16" ht="126">
      <c r="A34" s="672">
        <v>28</v>
      </c>
      <c r="B34" s="164" t="s">
        <v>20</v>
      </c>
      <c r="C34" s="164"/>
      <c r="D34" s="152" t="s">
        <v>40</v>
      </c>
      <c r="E34" s="40" t="s">
        <v>92</v>
      </c>
      <c r="F34" s="184">
        <v>109350</v>
      </c>
      <c r="G34" s="80" t="s">
        <v>23</v>
      </c>
      <c r="H34" s="21" t="s">
        <v>41</v>
      </c>
      <c r="I34" s="21">
        <v>1399</v>
      </c>
      <c r="J34" s="21" t="s">
        <v>25</v>
      </c>
      <c r="K34" s="183">
        <v>1</v>
      </c>
      <c r="L34" s="186" t="s">
        <v>947</v>
      </c>
      <c r="M34" s="186" t="s">
        <v>33</v>
      </c>
      <c r="N34" s="455" t="s">
        <v>325</v>
      </c>
      <c r="O34" s="22" t="s">
        <v>959</v>
      </c>
      <c r="P34" s="891"/>
    </row>
    <row r="35" spans="1:16" ht="82.9" customHeight="1">
      <c r="A35" s="672">
        <v>29</v>
      </c>
      <c r="B35" s="164" t="s">
        <v>20</v>
      </c>
      <c r="C35" s="164"/>
      <c r="D35" s="152" t="s">
        <v>40</v>
      </c>
      <c r="E35" s="40" t="s">
        <v>93</v>
      </c>
      <c r="F35" s="184">
        <v>91100</v>
      </c>
      <c r="G35" s="80" t="s">
        <v>23</v>
      </c>
      <c r="H35" s="21" t="s">
        <v>41</v>
      </c>
      <c r="I35" s="21">
        <v>1399</v>
      </c>
      <c r="J35" s="21" t="s">
        <v>25</v>
      </c>
      <c r="K35" s="183">
        <v>1</v>
      </c>
      <c r="L35" s="186" t="s">
        <v>947</v>
      </c>
      <c r="M35" s="186" t="s">
        <v>33</v>
      </c>
      <c r="N35" s="455" t="s">
        <v>325</v>
      </c>
      <c r="O35" s="22" t="s">
        <v>959</v>
      </c>
      <c r="P35" s="891"/>
    </row>
    <row r="36" spans="1:16" ht="68.45" customHeight="1">
      <c r="A36" s="672">
        <v>30</v>
      </c>
      <c r="B36" s="164" t="s">
        <v>20</v>
      </c>
      <c r="C36" s="164"/>
      <c r="D36" s="152" t="s">
        <v>40</v>
      </c>
      <c r="E36" s="164" t="s">
        <v>412</v>
      </c>
      <c r="F36" s="184">
        <v>1030200</v>
      </c>
      <c r="G36" s="80" t="s">
        <v>23</v>
      </c>
      <c r="H36" s="21" t="s">
        <v>41</v>
      </c>
      <c r="I36" s="21">
        <v>1399</v>
      </c>
      <c r="J36" s="21" t="s">
        <v>25</v>
      </c>
      <c r="K36" s="183">
        <v>1</v>
      </c>
      <c r="L36" s="186"/>
      <c r="M36" s="186" t="s">
        <v>33</v>
      </c>
      <c r="N36" s="186"/>
      <c r="O36" s="152"/>
      <c r="P36" s="891"/>
    </row>
    <row r="37" spans="1:16" ht="67.900000000000006" customHeight="1">
      <c r="A37" s="672">
        <v>31</v>
      </c>
      <c r="B37" s="164" t="s">
        <v>20</v>
      </c>
      <c r="C37" s="164"/>
      <c r="D37" s="152" t="s">
        <v>40</v>
      </c>
      <c r="E37" s="6" t="s">
        <v>164</v>
      </c>
      <c r="F37" s="184">
        <v>157500</v>
      </c>
      <c r="G37" s="80" t="s">
        <v>23</v>
      </c>
      <c r="H37" s="21" t="s">
        <v>41</v>
      </c>
      <c r="I37" s="21">
        <v>1399</v>
      </c>
      <c r="J37" s="21" t="s">
        <v>25</v>
      </c>
      <c r="K37" s="183">
        <v>1</v>
      </c>
      <c r="L37" s="186"/>
      <c r="M37" s="186" t="s">
        <v>33</v>
      </c>
      <c r="N37" s="186"/>
      <c r="O37" s="152"/>
      <c r="P37" s="891"/>
    </row>
    <row r="38" spans="1:16" ht="63" customHeight="1">
      <c r="A38" s="672">
        <v>32</v>
      </c>
      <c r="B38" s="164" t="s">
        <v>20</v>
      </c>
      <c r="C38" s="164"/>
      <c r="D38" s="152" t="s">
        <v>40</v>
      </c>
      <c r="E38" s="6" t="s">
        <v>411</v>
      </c>
      <c r="F38" s="184">
        <v>182280</v>
      </c>
      <c r="G38" s="80" t="s">
        <v>23</v>
      </c>
      <c r="H38" s="21" t="s">
        <v>41</v>
      </c>
      <c r="I38" s="21">
        <v>1399</v>
      </c>
      <c r="J38" s="21" t="s">
        <v>25</v>
      </c>
      <c r="K38" s="183">
        <v>1</v>
      </c>
      <c r="L38" s="186"/>
      <c r="M38" s="186" t="s">
        <v>33</v>
      </c>
      <c r="N38" s="186"/>
      <c r="O38" s="152"/>
      <c r="P38" s="80"/>
    </row>
    <row r="39" spans="1:16" ht="72.599999999999994" customHeight="1">
      <c r="A39" s="672">
        <v>33</v>
      </c>
      <c r="B39" s="164" t="s">
        <v>20</v>
      </c>
      <c r="C39" s="164"/>
      <c r="D39" s="152" t="s">
        <v>40</v>
      </c>
      <c r="E39" s="90" t="s">
        <v>410</v>
      </c>
      <c r="F39" s="184">
        <v>208320</v>
      </c>
      <c r="G39" s="80" t="s">
        <v>23</v>
      </c>
      <c r="H39" s="21" t="s">
        <v>41</v>
      </c>
      <c r="I39" s="21">
        <v>1399</v>
      </c>
      <c r="J39" s="21" t="s">
        <v>25</v>
      </c>
      <c r="K39" s="183">
        <v>1</v>
      </c>
      <c r="L39" s="186" t="s">
        <v>947</v>
      </c>
      <c r="M39" s="186" t="s">
        <v>33</v>
      </c>
      <c r="N39" s="455" t="s">
        <v>325</v>
      </c>
      <c r="O39" s="22" t="s">
        <v>959</v>
      </c>
      <c r="P39" s="891"/>
    </row>
    <row r="40" spans="1:16" ht="78" customHeight="1">
      <c r="A40" s="672">
        <v>34</v>
      </c>
      <c r="B40" s="164" t="s">
        <v>20</v>
      </c>
      <c r="C40" s="164"/>
      <c r="D40" s="152" t="s">
        <v>40</v>
      </c>
      <c r="E40" s="90" t="s">
        <v>409</v>
      </c>
      <c r="F40" s="184">
        <v>729120</v>
      </c>
      <c r="G40" s="80" t="s">
        <v>23</v>
      </c>
      <c r="H40" s="21" t="s">
        <v>41</v>
      </c>
      <c r="I40" s="21">
        <v>1399</v>
      </c>
      <c r="J40" s="21" t="s">
        <v>25</v>
      </c>
      <c r="K40" s="183">
        <v>1</v>
      </c>
      <c r="L40" s="186" t="s">
        <v>947</v>
      </c>
      <c r="M40" s="186" t="s">
        <v>33</v>
      </c>
      <c r="N40" s="455" t="s">
        <v>325</v>
      </c>
      <c r="O40" s="22" t="s">
        <v>959</v>
      </c>
      <c r="P40" s="891"/>
    </row>
    <row r="41" spans="1:16" ht="71.45" customHeight="1">
      <c r="A41" s="672">
        <v>35</v>
      </c>
      <c r="B41" s="164" t="s">
        <v>20</v>
      </c>
      <c r="C41" s="164"/>
      <c r="D41" s="152" t="s">
        <v>40</v>
      </c>
      <c r="E41" s="164" t="s">
        <v>408</v>
      </c>
      <c r="F41" s="184">
        <v>9871790</v>
      </c>
      <c r="G41" s="80" t="s">
        <v>23</v>
      </c>
      <c r="H41" s="21" t="s">
        <v>41</v>
      </c>
      <c r="I41" s="21">
        <v>1399</v>
      </c>
      <c r="J41" s="21" t="s">
        <v>25</v>
      </c>
      <c r="K41" s="183">
        <v>1</v>
      </c>
      <c r="L41" s="186" t="s">
        <v>947</v>
      </c>
      <c r="M41" s="186" t="s">
        <v>33</v>
      </c>
      <c r="N41" s="455" t="s">
        <v>325</v>
      </c>
      <c r="O41" s="22" t="s">
        <v>959</v>
      </c>
      <c r="P41" s="80"/>
    </row>
    <row r="42" spans="1:16" ht="75" customHeight="1">
      <c r="A42" s="672">
        <v>36</v>
      </c>
      <c r="B42" s="164" t="s">
        <v>20</v>
      </c>
      <c r="C42" s="164"/>
      <c r="D42" s="152" t="s">
        <v>40</v>
      </c>
      <c r="E42" s="164" t="s">
        <v>407</v>
      </c>
      <c r="F42" s="184">
        <v>858000</v>
      </c>
      <c r="G42" s="80" t="s">
        <v>23</v>
      </c>
      <c r="H42" s="21" t="s">
        <v>41</v>
      </c>
      <c r="I42" s="21">
        <v>1399</v>
      </c>
      <c r="J42" s="21" t="s">
        <v>25</v>
      </c>
      <c r="K42" s="183">
        <v>1</v>
      </c>
      <c r="L42" s="186"/>
      <c r="M42" s="186" t="s">
        <v>33</v>
      </c>
      <c r="N42" s="186"/>
      <c r="O42" s="152"/>
      <c r="P42" s="57"/>
    </row>
    <row r="43" spans="1:16" ht="54">
      <c r="A43" s="672">
        <v>37</v>
      </c>
      <c r="B43" s="164" t="s">
        <v>20</v>
      </c>
      <c r="C43" s="164"/>
      <c r="D43" s="152" t="s">
        <v>40</v>
      </c>
      <c r="E43" s="187" t="s">
        <v>105</v>
      </c>
      <c r="F43" s="184">
        <v>780000</v>
      </c>
      <c r="G43" s="80" t="s">
        <v>23</v>
      </c>
      <c r="H43" s="21" t="s">
        <v>41</v>
      </c>
      <c r="I43" s="21">
        <v>1399</v>
      </c>
      <c r="J43" s="21" t="s">
        <v>25</v>
      </c>
      <c r="K43" s="183">
        <v>1</v>
      </c>
      <c r="L43" s="186"/>
      <c r="M43" s="186" t="s">
        <v>33</v>
      </c>
      <c r="N43" s="186"/>
      <c r="O43" s="152"/>
      <c r="P43" s="57"/>
    </row>
    <row r="44" spans="1:16" ht="126">
      <c r="A44" s="672">
        <v>38</v>
      </c>
      <c r="B44" s="349" t="s">
        <v>20</v>
      </c>
      <c r="C44" s="164"/>
      <c r="D44" s="152" t="s">
        <v>40</v>
      </c>
      <c r="E44" s="164" t="s">
        <v>406</v>
      </c>
      <c r="F44" s="184">
        <v>1521000</v>
      </c>
      <c r="G44" s="80" t="s">
        <v>23</v>
      </c>
      <c r="H44" s="21" t="s">
        <v>41</v>
      </c>
      <c r="I44" s="21">
        <v>1399</v>
      </c>
      <c r="J44" s="21" t="s">
        <v>25</v>
      </c>
      <c r="K44" s="183">
        <v>1</v>
      </c>
      <c r="L44" s="186" t="s">
        <v>947</v>
      </c>
      <c r="M44" s="186" t="s">
        <v>33</v>
      </c>
      <c r="N44" s="455" t="s">
        <v>325</v>
      </c>
      <c r="O44" s="22" t="s">
        <v>959</v>
      </c>
      <c r="P44" s="57"/>
    </row>
    <row r="45" spans="1:16" s="5" customFormat="1" ht="87.6" customHeight="1">
      <c r="A45" s="672">
        <v>39</v>
      </c>
      <c r="B45" s="90" t="s">
        <v>75</v>
      </c>
      <c r="C45" s="164"/>
      <c r="D45" s="152" t="s">
        <v>76</v>
      </c>
      <c r="E45" s="152" t="s">
        <v>405</v>
      </c>
      <c r="F45" s="185">
        <v>167191698</v>
      </c>
      <c r="G45" s="82" t="s">
        <v>23</v>
      </c>
      <c r="H45" s="64" t="s">
        <v>77</v>
      </c>
      <c r="I45" s="82">
        <v>1399</v>
      </c>
      <c r="J45" s="65" t="s">
        <v>25</v>
      </c>
      <c r="K45" s="183">
        <v>0.95</v>
      </c>
      <c r="L45" s="64"/>
      <c r="M45" s="186" t="s">
        <v>1851</v>
      </c>
      <c r="N45" s="402"/>
      <c r="O45" s="65"/>
      <c r="P45" s="64" t="s">
        <v>1852</v>
      </c>
    </row>
    <row r="46" spans="1:16" s="461" customFormat="1" ht="57" customHeight="1">
      <c r="A46" s="672">
        <v>40</v>
      </c>
      <c r="B46" s="164" t="s">
        <v>20</v>
      </c>
      <c r="C46" s="164" t="s">
        <v>1441</v>
      </c>
      <c r="D46" s="164" t="s">
        <v>403</v>
      </c>
      <c r="E46" s="164" t="s">
        <v>1442</v>
      </c>
      <c r="F46" s="37">
        <v>235000</v>
      </c>
      <c r="G46" s="469" t="s">
        <v>23</v>
      </c>
      <c r="H46" s="458" t="s">
        <v>77</v>
      </c>
      <c r="I46" s="458">
        <v>1399</v>
      </c>
      <c r="J46" s="458" t="s">
        <v>25</v>
      </c>
      <c r="K46" s="183">
        <v>1</v>
      </c>
      <c r="L46" s="40"/>
      <c r="M46" s="186" t="s">
        <v>33</v>
      </c>
      <c r="N46" s="40"/>
      <c r="O46" s="40"/>
      <c r="P46" s="541"/>
    </row>
    <row r="47" spans="1:16" s="461" customFormat="1" ht="67.900000000000006" customHeight="1">
      <c r="A47" s="672">
        <v>41</v>
      </c>
      <c r="B47" s="164" t="s">
        <v>20</v>
      </c>
      <c r="C47" s="164" t="s">
        <v>404</v>
      </c>
      <c r="D47" s="164" t="s">
        <v>403</v>
      </c>
      <c r="E47" s="164" t="s">
        <v>402</v>
      </c>
      <c r="F47" s="184">
        <v>240000</v>
      </c>
      <c r="G47" s="469" t="s">
        <v>23</v>
      </c>
      <c r="H47" s="458" t="s">
        <v>77</v>
      </c>
      <c r="I47" s="458">
        <v>1399</v>
      </c>
      <c r="J47" s="458" t="s">
        <v>25</v>
      </c>
      <c r="K47" s="183">
        <v>1</v>
      </c>
      <c r="L47" s="462"/>
      <c r="M47" s="186" t="s">
        <v>33</v>
      </c>
      <c r="N47" s="40"/>
      <c r="O47" s="40"/>
      <c r="P47" s="541"/>
    </row>
    <row r="48" spans="1:16" s="461" customFormat="1" ht="90.75" customHeight="1">
      <c r="A48" s="672">
        <v>42</v>
      </c>
      <c r="B48" s="164" t="s">
        <v>20</v>
      </c>
      <c r="C48" s="349" t="s">
        <v>1443</v>
      </c>
      <c r="D48" s="349" t="s">
        <v>1444</v>
      </c>
      <c r="E48" s="40" t="s">
        <v>1445</v>
      </c>
      <c r="F48" s="37">
        <v>8370987</v>
      </c>
      <c r="G48" s="440" t="s">
        <v>23</v>
      </c>
      <c r="H48" s="718" t="s">
        <v>393</v>
      </c>
      <c r="I48" s="86">
        <v>1399</v>
      </c>
      <c r="J48" s="86" t="s">
        <v>25</v>
      </c>
      <c r="K48" s="66">
        <v>1</v>
      </c>
      <c r="L48" s="40"/>
      <c r="M48" s="542" t="s">
        <v>71</v>
      </c>
      <c r="N48" s="40"/>
      <c r="O48" s="40"/>
      <c r="P48" s="541"/>
    </row>
    <row r="49" spans="1:16" s="461" customFormat="1" ht="75" customHeight="1">
      <c r="A49" s="672">
        <v>43</v>
      </c>
      <c r="B49" s="164" t="s">
        <v>20</v>
      </c>
      <c r="C49" s="349" t="s">
        <v>1443</v>
      </c>
      <c r="D49" s="349" t="s">
        <v>1444</v>
      </c>
      <c r="E49" s="40" t="s">
        <v>1446</v>
      </c>
      <c r="F49" s="37">
        <v>9846775</v>
      </c>
      <c r="G49" s="440" t="s">
        <v>23</v>
      </c>
      <c r="H49" s="718" t="s">
        <v>393</v>
      </c>
      <c r="I49" s="86">
        <v>1399</v>
      </c>
      <c r="J49" s="86" t="s">
        <v>25</v>
      </c>
      <c r="K49" s="66">
        <v>1</v>
      </c>
      <c r="L49" s="40"/>
      <c r="M49" s="542" t="s">
        <v>71</v>
      </c>
      <c r="N49" s="40"/>
      <c r="O49" s="40"/>
      <c r="P49" s="541"/>
    </row>
    <row r="50" spans="1:16" s="461" customFormat="1" ht="83.25" customHeight="1">
      <c r="A50" s="672">
        <v>44</v>
      </c>
      <c r="B50" s="164" t="s">
        <v>20</v>
      </c>
      <c r="C50" s="349" t="s">
        <v>1447</v>
      </c>
      <c r="D50" s="349" t="s">
        <v>1444</v>
      </c>
      <c r="E50" s="40" t="s">
        <v>401</v>
      </c>
      <c r="F50" s="37">
        <v>316000</v>
      </c>
      <c r="G50" s="440" t="s">
        <v>23</v>
      </c>
      <c r="H50" s="718" t="s">
        <v>393</v>
      </c>
      <c r="I50" s="86">
        <v>1399</v>
      </c>
      <c r="J50" s="86" t="s">
        <v>25</v>
      </c>
      <c r="K50" s="66">
        <v>1</v>
      </c>
      <c r="L50" s="40"/>
      <c r="M50" s="542" t="s">
        <v>71</v>
      </c>
      <c r="N50" s="40"/>
      <c r="O50" s="40"/>
      <c r="P50" s="541"/>
    </row>
    <row r="51" spans="1:16" s="461" customFormat="1" ht="83.25" customHeight="1">
      <c r="A51" s="672">
        <v>45</v>
      </c>
      <c r="B51" s="164" t="s">
        <v>20</v>
      </c>
      <c r="C51" s="349" t="s">
        <v>1448</v>
      </c>
      <c r="D51" s="40" t="s">
        <v>1444</v>
      </c>
      <c r="E51" s="40" t="s">
        <v>1449</v>
      </c>
      <c r="F51" s="40">
        <v>5486296</v>
      </c>
      <c r="G51" s="40" t="s">
        <v>23</v>
      </c>
      <c r="H51" s="40" t="s">
        <v>393</v>
      </c>
      <c r="I51" s="40">
        <v>1399</v>
      </c>
      <c r="J51" s="40" t="s">
        <v>25</v>
      </c>
      <c r="K51" s="66">
        <v>1</v>
      </c>
      <c r="L51" s="40"/>
      <c r="M51" s="542" t="s">
        <v>71</v>
      </c>
      <c r="N51" s="40"/>
      <c r="O51" s="40"/>
      <c r="P51" s="541"/>
    </row>
    <row r="52" spans="1:16" s="461" customFormat="1" ht="67.150000000000006" customHeight="1">
      <c r="A52" s="672">
        <v>46</v>
      </c>
      <c r="B52" s="164" t="s">
        <v>20</v>
      </c>
      <c r="C52" s="349"/>
      <c r="D52" s="349" t="s">
        <v>1444</v>
      </c>
      <c r="E52" s="40" t="s">
        <v>1381</v>
      </c>
      <c r="F52" s="37">
        <v>3850000</v>
      </c>
      <c r="G52" s="440" t="s">
        <v>23</v>
      </c>
      <c r="H52" s="718" t="s">
        <v>393</v>
      </c>
      <c r="I52" s="86">
        <v>1399</v>
      </c>
      <c r="J52" s="86" t="s">
        <v>25</v>
      </c>
      <c r="K52" s="66" t="s">
        <v>17</v>
      </c>
      <c r="L52" s="40"/>
      <c r="M52" s="542" t="s">
        <v>3</v>
      </c>
      <c r="N52" s="635" t="s">
        <v>1866</v>
      </c>
      <c r="O52" s="40" t="s">
        <v>1986</v>
      </c>
      <c r="P52" s="541"/>
    </row>
    <row r="53" spans="1:16" s="461" customFormat="1" ht="78" customHeight="1">
      <c r="A53" s="672">
        <v>47</v>
      </c>
      <c r="B53" s="164" t="s">
        <v>20</v>
      </c>
      <c r="C53" s="349"/>
      <c r="D53" s="349" t="s">
        <v>1444</v>
      </c>
      <c r="E53" s="40" t="s">
        <v>400</v>
      </c>
      <c r="F53" s="803" t="s">
        <v>399</v>
      </c>
      <c r="G53" s="440" t="s">
        <v>141</v>
      </c>
      <c r="H53" s="718" t="s">
        <v>393</v>
      </c>
      <c r="I53" s="86">
        <v>1399</v>
      </c>
      <c r="J53" s="86" t="s">
        <v>25</v>
      </c>
      <c r="K53" s="66"/>
      <c r="L53" s="40"/>
      <c r="M53" s="40" t="s">
        <v>1450</v>
      </c>
      <c r="N53" s="40"/>
      <c r="O53" s="543"/>
      <c r="P53" s="660" t="s">
        <v>1136</v>
      </c>
    </row>
    <row r="54" spans="1:16" s="461" customFormat="1" ht="102" customHeight="1">
      <c r="A54" s="672">
        <v>48</v>
      </c>
      <c r="B54" s="164" t="s">
        <v>20</v>
      </c>
      <c r="C54" s="349"/>
      <c r="D54" s="349" t="s">
        <v>1444</v>
      </c>
      <c r="E54" s="40" t="s">
        <v>398</v>
      </c>
      <c r="F54" s="803"/>
      <c r="G54" s="440" t="s">
        <v>141</v>
      </c>
      <c r="H54" s="718" t="s">
        <v>393</v>
      </c>
      <c r="I54" s="86">
        <v>1399</v>
      </c>
      <c r="J54" s="86" t="s">
        <v>25</v>
      </c>
      <c r="K54" s="66"/>
      <c r="L54" s="40"/>
      <c r="M54" s="40" t="s">
        <v>1450</v>
      </c>
      <c r="N54" s="40"/>
      <c r="O54" s="543"/>
      <c r="P54" s="667" t="s">
        <v>1987</v>
      </c>
    </row>
    <row r="55" spans="1:16" s="461" customFormat="1" ht="72">
      <c r="A55" s="672">
        <v>49</v>
      </c>
      <c r="B55" s="164" t="s">
        <v>20</v>
      </c>
      <c r="C55" s="349"/>
      <c r="D55" s="349" t="s">
        <v>1444</v>
      </c>
      <c r="E55" s="40" t="s">
        <v>397</v>
      </c>
      <c r="F55" s="803"/>
      <c r="G55" s="440" t="s">
        <v>141</v>
      </c>
      <c r="H55" s="718" t="s">
        <v>393</v>
      </c>
      <c r="I55" s="86">
        <v>1399</v>
      </c>
      <c r="J55" s="86" t="s">
        <v>25</v>
      </c>
      <c r="K55" s="66"/>
      <c r="L55" s="40"/>
      <c r="M55" s="40" t="s">
        <v>1450</v>
      </c>
      <c r="N55" s="40"/>
      <c r="O55" s="543"/>
      <c r="P55" s="660" t="s">
        <v>1136</v>
      </c>
    </row>
    <row r="56" spans="1:16" s="461" customFormat="1" ht="87" customHeight="1">
      <c r="A56" s="672">
        <v>50</v>
      </c>
      <c r="B56" s="164" t="s">
        <v>20</v>
      </c>
      <c r="C56" s="349"/>
      <c r="D56" s="349" t="s">
        <v>1444</v>
      </c>
      <c r="E56" s="40" t="s">
        <v>396</v>
      </c>
      <c r="F56" s="803"/>
      <c r="G56" s="440" t="s">
        <v>141</v>
      </c>
      <c r="H56" s="718" t="s">
        <v>393</v>
      </c>
      <c r="I56" s="86">
        <v>1399</v>
      </c>
      <c r="J56" s="86" t="s">
        <v>25</v>
      </c>
      <c r="K56" s="66"/>
      <c r="L56" s="40"/>
      <c r="M56" s="40" t="s">
        <v>1450</v>
      </c>
      <c r="N56" s="40"/>
      <c r="O56" s="543"/>
      <c r="P56" s="667" t="s">
        <v>1987</v>
      </c>
    </row>
    <row r="57" spans="1:16" s="461" customFormat="1" ht="72">
      <c r="A57" s="672">
        <v>51</v>
      </c>
      <c r="B57" s="164" t="s">
        <v>20</v>
      </c>
      <c r="C57" s="349"/>
      <c r="D57" s="349" t="s">
        <v>1444</v>
      </c>
      <c r="E57" s="40" t="s">
        <v>395</v>
      </c>
      <c r="F57" s="803"/>
      <c r="G57" s="440" t="s">
        <v>141</v>
      </c>
      <c r="H57" s="718" t="s">
        <v>393</v>
      </c>
      <c r="I57" s="86">
        <v>1399</v>
      </c>
      <c r="J57" s="86" t="s">
        <v>25</v>
      </c>
      <c r="K57" s="66"/>
      <c r="L57" s="40"/>
      <c r="M57" s="40" t="s">
        <v>1450</v>
      </c>
      <c r="N57" s="40"/>
      <c r="O57" s="543"/>
      <c r="P57" s="660" t="s">
        <v>1136</v>
      </c>
    </row>
    <row r="58" spans="1:16" s="461" customFormat="1" ht="72">
      <c r="A58" s="672">
        <v>52</v>
      </c>
      <c r="B58" s="164" t="s">
        <v>20</v>
      </c>
      <c r="C58" s="349"/>
      <c r="D58" s="349" t="s">
        <v>1444</v>
      </c>
      <c r="E58" s="40" t="s">
        <v>394</v>
      </c>
      <c r="F58" s="803"/>
      <c r="G58" s="440" t="s">
        <v>141</v>
      </c>
      <c r="H58" s="718" t="s">
        <v>393</v>
      </c>
      <c r="I58" s="86">
        <v>1399</v>
      </c>
      <c r="J58" s="86" t="s">
        <v>25</v>
      </c>
      <c r="K58" s="66"/>
      <c r="L58" s="40"/>
      <c r="M58" s="40" t="s">
        <v>1450</v>
      </c>
      <c r="N58" s="40"/>
      <c r="O58" s="543"/>
      <c r="P58" s="660" t="s">
        <v>1136</v>
      </c>
    </row>
    <row r="59" spans="1:16" s="461" customFormat="1" ht="86.25" customHeight="1">
      <c r="A59" s="672">
        <v>53</v>
      </c>
      <c r="B59" s="164" t="s">
        <v>20</v>
      </c>
      <c r="C59" s="349" t="s">
        <v>1451</v>
      </c>
      <c r="D59" s="40" t="s">
        <v>156</v>
      </c>
      <c r="E59" s="40" t="s">
        <v>1452</v>
      </c>
      <c r="F59" s="37">
        <v>5200000</v>
      </c>
      <c r="G59" s="440" t="s">
        <v>23</v>
      </c>
      <c r="H59" s="86" t="s">
        <v>77</v>
      </c>
      <c r="I59" s="86">
        <v>1399</v>
      </c>
      <c r="J59" s="86" t="s">
        <v>25</v>
      </c>
      <c r="K59" s="66" t="s">
        <v>17</v>
      </c>
      <c r="L59" s="40" t="s">
        <v>72</v>
      </c>
      <c r="M59" s="40"/>
      <c r="N59" s="40" t="s">
        <v>1453</v>
      </c>
      <c r="O59" s="40" t="s">
        <v>1454</v>
      </c>
      <c r="P59" s="541"/>
    </row>
    <row r="60" spans="1:16" s="552" customFormat="1" ht="67.900000000000006" customHeight="1">
      <c r="A60" s="672">
        <v>54</v>
      </c>
      <c r="B60" s="164" t="s">
        <v>20</v>
      </c>
      <c r="C60" s="164"/>
      <c r="D60" s="237" t="s">
        <v>130</v>
      </c>
      <c r="E60" s="40" t="s">
        <v>142</v>
      </c>
      <c r="F60" s="37">
        <v>1282840</v>
      </c>
      <c r="G60" s="182" t="s">
        <v>23</v>
      </c>
      <c r="H60" s="551" t="s">
        <v>77</v>
      </c>
      <c r="I60" s="551">
        <v>1399</v>
      </c>
      <c r="J60" s="551" t="s">
        <v>25</v>
      </c>
      <c r="K60" s="183" t="s">
        <v>17</v>
      </c>
      <c r="L60" s="40" t="s">
        <v>72</v>
      </c>
      <c r="M60" s="40"/>
      <c r="N60" s="623" t="s">
        <v>581</v>
      </c>
      <c r="O60" s="236" t="s">
        <v>1833</v>
      </c>
      <c r="P60" s="182"/>
    </row>
    <row r="61" spans="1:16" s="552" customFormat="1" ht="57.6" customHeight="1">
      <c r="A61" s="672">
        <v>55</v>
      </c>
      <c r="B61" s="164" t="s">
        <v>20</v>
      </c>
      <c r="C61" s="164"/>
      <c r="D61" s="237" t="s">
        <v>130</v>
      </c>
      <c r="E61" s="40" t="s">
        <v>143</v>
      </c>
      <c r="F61" s="37">
        <v>235148</v>
      </c>
      <c r="G61" s="182" t="s">
        <v>23</v>
      </c>
      <c r="H61" s="551" t="s">
        <v>77</v>
      </c>
      <c r="I61" s="551">
        <v>1399</v>
      </c>
      <c r="J61" s="551" t="s">
        <v>25</v>
      </c>
      <c r="K61" s="183" t="s">
        <v>17</v>
      </c>
      <c r="L61" s="40" t="s">
        <v>72</v>
      </c>
      <c r="M61" s="40"/>
      <c r="N61" s="623" t="s">
        <v>581</v>
      </c>
      <c r="O61" s="236" t="s">
        <v>1833</v>
      </c>
      <c r="P61" s="182"/>
    </row>
    <row r="69" spans="14:14">
      <c r="N69" s="9" t="s">
        <v>958</v>
      </c>
    </row>
  </sheetData>
  <mergeCells count="23">
    <mergeCell ref="F53:F58"/>
    <mergeCell ref="A1:P4"/>
    <mergeCell ref="A5:A6"/>
    <mergeCell ref="B5:B6"/>
    <mergeCell ref="C5:C6"/>
    <mergeCell ref="D5:D6"/>
    <mergeCell ref="E5:E6"/>
    <mergeCell ref="F5:H5"/>
    <mergeCell ref="I5:I6"/>
    <mergeCell ref="J5:J6"/>
    <mergeCell ref="K5:K6"/>
    <mergeCell ref="L5:M5"/>
    <mergeCell ref="N5:N6"/>
    <mergeCell ref="O5:O6"/>
    <mergeCell ref="P5:P6"/>
    <mergeCell ref="Q29:R29"/>
    <mergeCell ref="P32:P34"/>
    <mergeCell ref="P35:P37"/>
    <mergeCell ref="P18:P19"/>
    <mergeCell ref="P39:P40"/>
    <mergeCell ref="P22:P24"/>
    <mergeCell ref="P27:P28"/>
    <mergeCell ref="P29:P30"/>
  </mergeCells>
  <printOptions horizontalCentered="1"/>
  <pageMargins left="0.2" right="0.2" top="0.5" bottom="0.5" header="0.3" footer="0.3"/>
  <pageSetup paperSize="9" scale="62" orientation="landscape" r:id="rId1"/>
  <headerFooter>
    <oddFooter>&amp;C&amp;P</oddFooter>
  </headerFooter>
</worksheet>
</file>

<file path=xl/worksheets/sheet33.xml><?xml version="1.0" encoding="utf-8"?>
<worksheet xmlns="http://schemas.openxmlformats.org/spreadsheetml/2006/main" xmlns:r="http://schemas.openxmlformats.org/officeDocument/2006/relationships">
  <sheetPr>
    <tabColor rgb="FF92D050"/>
  </sheetPr>
  <dimension ref="A1:AH71"/>
  <sheetViews>
    <sheetView rightToLeft="1" view="pageBreakPreview" zoomScale="83" zoomScaleSheetLayoutView="83" workbookViewId="0">
      <pane ySplit="6" topLeftCell="A61" activePane="bottomLeft" state="frozen"/>
      <selection pane="bottomLeft" activeCell="K67" sqref="K67"/>
    </sheetView>
  </sheetViews>
  <sheetFormatPr defaultColWidth="9.140625" defaultRowHeight="15"/>
  <cols>
    <col min="1" max="1" width="6.28515625" style="1" customWidth="1"/>
    <col min="2" max="2" width="14.140625" style="7" customWidth="1"/>
    <col min="3" max="3" width="9.42578125" style="7" customWidth="1"/>
    <col min="4" max="4" width="15" style="7" customWidth="1"/>
    <col min="5" max="5" width="34.5703125" style="7" customWidth="1"/>
    <col min="6" max="6" width="17.85546875" style="160" customWidth="1"/>
    <col min="7" max="7" width="10.42578125" style="2" customWidth="1"/>
    <col min="8" max="8" width="12.42578125" style="2" customWidth="1"/>
    <col min="9" max="9" width="13.85546875" style="1" customWidth="1"/>
    <col min="10" max="10" width="12.85546875" style="1" customWidth="1"/>
    <col min="11" max="11" width="11.7109375" style="1" customWidth="1"/>
    <col min="12" max="12" width="9.7109375" style="11" customWidth="1"/>
    <col min="13" max="13" width="15" style="11" customWidth="1"/>
    <col min="14" max="14" width="21.7109375" style="11" customWidth="1"/>
    <col min="15" max="15" width="15.28515625" style="11" customWidth="1"/>
    <col min="16" max="16" width="13.140625" style="145" customWidth="1"/>
    <col min="17" max="16384" width="9.140625" style="145"/>
  </cols>
  <sheetData>
    <row r="1" spans="1:16" ht="15" customHeight="1">
      <c r="A1" s="788" t="s">
        <v>1989</v>
      </c>
      <c r="B1" s="789"/>
      <c r="C1" s="789"/>
      <c r="D1" s="789"/>
      <c r="E1" s="789"/>
      <c r="F1" s="789"/>
      <c r="G1" s="789"/>
      <c r="H1" s="789"/>
      <c r="I1" s="789"/>
      <c r="J1" s="789"/>
      <c r="K1" s="789"/>
      <c r="L1" s="789"/>
      <c r="M1" s="789"/>
      <c r="N1" s="789"/>
      <c r="O1" s="789"/>
      <c r="P1" s="789"/>
    </row>
    <row r="2" spans="1:16" ht="15" customHeight="1">
      <c r="A2" s="789"/>
      <c r="B2" s="789"/>
      <c r="C2" s="789"/>
      <c r="D2" s="789"/>
      <c r="E2" s="789"/>
      <c r="F2" s="789"/>
      <c r="G2" s="789"/>
      <c r="H2" s="789"/>
      <c r="I2" s="789"/>
      <c r="J2" s="789"/>
      <c r="K2" s="789"/>
      <c r="L2" s="789"/>
      <c r="M2" s="789"/>
      <c r="N2" s="789"/>
      <c r="O2" s="789"/>
      <c r="P2" s="789"/>
    </row>
    <row r="3" spans="1:16" ht="15" customHeight="1">
      <c r="A3" s="789"/>
      <c r="B3" s="789"/>
      <c r="C3" s="789"/>
      <c r="D3" s="789"/>
      <c r="E3" s="789"/>
      <c r="F3" s="789"/>
      <c r="G3" s="789"/>
      <c r="H3" s="789"/>
      <c r="I3" s="789"/>
      <c r="J3" s="789"/>
      <c r="K3" s="789"/>
      <c r="L3" s="789"/>
      <c r="M3" s="789"/>
      <c r="N3" s="789"/>
      <c r="O3" s="789"/>
      <c r="P3" s="789"/>
    </row>
    <row r="4" spans="1:16" ht="44.25" customHeight="1">
      <c r="A4" s="790"/>
      <c r="B4" s="790"/>
      <c r="C4" s="790"/>
      <c r="D4" s="790"/>
      <c r="E4" s="790"/>
      <c r="F4" s="790"/>
      <c r="G4" s="790"/>
      <c r="H4" s="790"/>
      <c r="I4" s="790"/>
      <c r="J4" s="790"/>
      <c r="K4" s="790"/>
      <c r="L4" s="790"/>
      <c r="M4" s="790"/>
      <c r="N4" s="790"/>
      <c r="O4" s="790"/>
      <c r="P4" s="790"/>
    </row>
    <row r="5" spans="1:16" ht="29.25" customHeight="1">
      <c r="A5" s="791" t="s">
        <v>0</v>
      </c>
      <c r="B5" s="791" t="s">
        <v>14</v>
      </c>
      <c r="C5" s="895" t="s">
        <v>392</v>
      </c>
      <c r="D5" s="791" t="s">
        <v>1</v>
      </c>
      <c r="E5" s="791" t="s">
        <v>15</v>
      </c>
      <c r="F5" s="791" t="s">
        <v>9</v>
      </c>
      <c r="G5" s="791"/>
      <c r="H5" s="791"/>
      <c r="I5" s="791" t="s">
        <v>7</v>
      </c>
      <c r="J5" s="791" t="s">
        <v>6</v>
      </c>
      <c r="K5" s="791" t="s">
        <v>16</v>
      </c>
      <c r="L5" s="791" t="s">
        <v>2</v>
      </c>
      <c r="M5" s="791"/>
      <c r="N5" s="791" t="s">
        <v>5</v>
      </c>
      <c r="O5" s="791" t="s">
        <v>13</v>
      </c>
      <c r="P5" s="791" t="s">
        <v>8</v>
      </c>
    </row>
    <row r="6" spans="1:16" ht="29.25" customHeight="1">
      <c r="A6" s="791"/>
      <c r="B6" s="791"/>
      <c r="C6" s="896"/>
      <c r="D6" s="791"/>
      <c r="E6" s="791"/>
      <c r="F6" s="146" t="s">
        <v>10</v>
      </c>
      <c r="G6" s="146" t="s">
        <v>11</v>
      </c>
      <c r="H6" s="146" t="s">
        <v>12</v>
      </c>
      <c r="I6" s="791"/>
      <c r="J6" s="791"/>
      <c r="K6" s="791"/>
      <c r="L6" s="146" t="s">
        <v>3</v>
      </c>
      <c r="M6" s="146" t="s">
        <v>4</v>
      </c>
      <c r="N6" s="791"/>
      <c r="O6" s="791"/>
      <c r="P6" s="791"/>
    </row>
    <row r="7" spans="1:16" s="5" customFormat="1" ht="49.15" customHeight="1">
      <c r="A7" s="354">
        <v>1</v>
      </c>
      <c r="B7" s="43" t="s">
        <v>20</v>
      </c>
      <c r="C7" s="43" t="s">
        <v>1513</v>
      </c>
      <c r="D7" s="43" t="s">
        <v>1766</v>
      </c>
      <c r="E7" s="85" t="s">
        <v>1479</v>
      </c>
      <c r="F7" s="162">
        <v>311333</v>
      </c>
      <c r="G7" s="354" t="s">
        <v>23</v>
      </c>
      <c r="H7" s="354" t="s">
        <v>77</v>
      </c>
      <c r="I7" s="354">
        <v>1399</v>
      </c>
      <c r="J7" s="354" t="s">
        <v>25</v>
      </c>
      <c r="K7" s="684">
        <v>1</v>
      </c>
      <c r="L7" s="592"/>
      <c r="M7" s="32" t="s">
        <v>33</v>
      </c>
      <c r="N7" s="180"/>
      <c r="O7" s="180"/>
      <c r="P7" s="179"/>
    </row>
    <row r="8" spans="1:16" s="5" customFormat="1" ht="47.25" customHeight="1">
      <c r="A8" s="354">
        <v>2</v>
      </c>
      <c r="B8" s="43" t="s">
        <v>20</v>
      </c>
      <c r="C8" s="43" t="s">
        <v>1788</v>
      </c>
      <c r="D8" s="43" t="s">
        <v>1766</v>
      </c>
      <c r="E8" s="85" t="s">
        <v>1789</v>
      </c>
      <c r="F8" s="162">
        <v>1071000</v>
      </c>
      <c r="G8" s="354" t="s">
        <v>23</v>
      </c>
      <c r="H8" s="354" t="s">
        <v>77</v>
      </c>
      <c r="I8" s="354">
        <v>1399</v>
      </c>
      <c r="J8" s="686" t="s">
        <v>25</v>
      </c>
      <c r="K8" s="684">
        <v>1</v>
      </c>
      <c r="L8" s="592"/>
      <c r="M8" s="32" t="s">
        <v>33</v>
      </c>
      <c r="N8" s="180"/>
      <c r="O8" s="180"/>
      <c r="P8" s="179"/>
    </row>
    <row r="9" spans="1:16" s="5" customFormat="1" ht="36" customHeight="1">
      <c r="A9" s="354">
        <v>3</v>
      </c>
      <c r="B9" s="43" t="s">
        <v>20</v>
      </c>
      <c r="C9" s="43" t="s">
        <v>1790</v>
      </c>
      <c r="D9" s="43" t="s">
        <v>1766</v>
      </c>
      <c r="E9" s="101" t="s">
        <v>1791</v>
      </c>
      <c r="F9" s="162">
        <v>20000</v>
      </c>
      <c r="G9" s="354" t="s">
        <v>23</v>
      </c>
      <c r="H9" s="354" t="s">
        <v>77</v>
      </c>
      <c r="I9" s="354">
        <v>1399</v>
      </c>
      <c r="J9" s="686" t="s">
        <v>25</v>
      </c>
      <c r="K9" s="684">
        <v>1</v>
      </c>
      <c r="L9" s="592"/>
      <c r="M9" s="32" t="s">
        <v>33</v>
      </c>
      <c r="N9" s="180"/>
      <c r="O9" s="180"/>
      <c r="P9" s="179"/>
    </row>
    <row r="10" spans="1:16" s="5" customFormat="1" ht="34.9" customHeight="1">
      <c r="A10" s="354">
        <v>4</v>
      </c>
      <c r="B10" s="43" t="s">
        <v>20</v>
      </c>
      <c r="C10" s="43" t="s">
        <v>1790</v>
      </c>
      <c r="D10" s="43" t="s">
        <v>1766</v>
      </c>
      <c r="E10" s="32" t="s">
        <v>1792</v>
      </c>
      <c r="F10" s="162">
        <v>20000</v>
      </c>
      <c r="G10" s="354" t="s">
        <v>23</v>
      </c>
      <c r="H10" s="354" t="s">
        <v>77</v>
      </c>
      <c r="I10" s="354">
        <v>1399</v>
      </c>
      <c r="J10" s="686" t="s">
        <v>25</v>
      </c>
      <c r="K10" s="684">
        <v>1</v>
      </c>
      <c r="L10" s="592"/>
      <c r="M10" s="32" t="s">
        <v>33</v>
      </c>
      <c r="N10" s="180" t="s">
        <v>17</v>
      </c>
      <c r="O10" s="180" t="s">
        <v>17</v>
      </c>
      <c r="P10" s="179"/>
    </row>
    <row r="11" spans="1:16" s="5" customFormat="1" ht="36" customHeight="1">
      <c r="A11" s="354">
        <v>5</v>
      </c>
      <c r="B11" s="43" t="s">
        <v>20</v>
      </c>
      <c r="C11" s="43" t="s">
        <v>1790</v>
      </c>
      <c r="D11" s="43" t="s">
        <v>1766</v>
      </c>
      <c r="E11" s="32" t="s">
        <v>1631</v>
      </c>
      <c r="F11" s="162">
        <v>144000</v>
      </c>
      <c r="G11" s="354" t="s">
        <v>23</v>
      </c>
      <c r="H11" s="354" t="s">
        <v>77</v>
      </c>
      <c r="I11" s="354">
        <v>1399</v>
      </c>
      <c r="J11" s="686" t="s">
        <v>25</v>
      </c>
      <c r="K11" s="684">
        <v>1</v>
      </c>
      <c r="L11" s="592"/>
      <c r="M11" s="32" t="s">
        <v>71</v>
      </c>
      <c r="N11" s="180"/>
      <c r="O11" s="180"/>
      <c r="P11" s="179"/>
    </row>
    <row r="12" spans="1:16" s="5" customFormat="1" ht="36" customHeight="1">
      <c r="A12" s="354">
        <v>6</v>
      </c>
      <c r="B12" s="43" t="s">
        <v>20</v>
      </c>
      <c r="C12" s="43" t="s">
        <v>1790</v>
      </c>
      <c r="D12" s="43" t="s">
        <v>1766</v>
      </c>
      <c r="E12" s="32" t="s">
        <v>1793</v>
      </c>
      <c r="F12" s="162">
        <v>125000</v>
      </c>
      <c r="G12" s="354" t="s">
        <v>23</v>
      </c>
      <c r="H12" s="354" t="s">
        <v>77</v>
      </c>
      <c r="I12" s="354">
        <v>1399</v>
      </c>
      <c r="J12" s="686" t="s">
        <v>25</v>
      </c>
      <c r="K12" s="684">
        <v>1</v>
      </c>
      <c r="L12" s="592"/>
      <c r="M12" s="32" t="s">
        <v>71</v>
      </c>
      <c r="N12" s="180"/>
      <c r="O12" s="180"/>
      <c r="P12" s="179"/>
    </row>
    <row r="13" spans="1:16" s="5" customFormat="1" ht="36" customHeight="1">
      <c r="A13" s="354">
        <v>7</v>
      </c>
      <c r="B13" s="43" t="s">
        <v>20</v>
      </c>
      <c r="C13" s="43" t="s">
        <v>1790</v>
      </c>
      <c r="D13" s="43" t="s">
        <v>1766</v>
      </c>
      <c r="E13" s="32" t="s">
        <v>1794</v>
      </c>
      <c r="F13" s="162">
        <v>1250000</v>
      </c>
      <c r="G13" s="354" t="s">
        <v>23</v>
      </c>
      <c r="H13" s="354" t="s">
        <v>77</v>
      </c>
      <c r="I13" s="354">
        <v>1399</v>
      </c>
      <c r="J13" s="686" t="s">
        <v>25</v>
      </c>
      <c r="K13" s="684">
        <v>1</v>
      </c>
      <c r="L13" s="592"/>
      <c r="M13" s="32" t="s">
        <v>71</v>
      </c>
      <c r="N13" s="180"/>
      <c r="O13" s="180"/>
      <c r="P13" s="179"/>
    </row>
    <row r="14" spans="1:16" s="5" customFormat="1" ht="36" customHeight="1">
      <c r="A14" s="354">
        <v>8</v>
      </c>
      <c r="B14" s="43" t="s">
        <v>20</v>
      </c>
      <c r="C14" s="43" t="s">
        <v>1790</v>
      </c>
      <c r="D14" s="43" t="s">
        <v>1766</v>
      </c>
      <c r="E14" s="32" t="s">
        <v>1552</v>
      </c>
      <c r="F14" s="162">
        <v>1250000</v>
      </c>
      <c r="G14" s="354" t="s">
        <v>23</v>
      </c>
      <c r="H14" s="354" t="s">
        <v>77</v>
      </c>
      <c r="I14" s="354">
        <v>1399</v>
      </c>
      <c r="J14" s="686" t="s">
        <v>25</v>
      </c>
      <c r="K14" s="684">
        <v>1</v>
      </c>
      <c r="L14" s="592"/>
      <c r="M14" s="32" t="s">
        <v>71</v>
      </c>
      <c r="N14" s="180"/>
      <c r="O14" s="180"/>
      <c r="P14" s="179"/>
    </row>
    <row r="15" spans="1:16" s="5" customFormat="1" ht="36" customHeight="1">
      <c r="A15" s="354">
        <v>9</v>
      </c>
      <c r="B15" s="43" t="s">
        <v>20</v>
      </c>
      <c r="C15" s="43"/>
      <c r="D15" s="582" t="s">
        <v>1766</v>
      </c>
      <c r="E15" s="33" t="s">
        <v>1795</v>
      </c>
      <c r="F15" s="162">
        <v>2400000</v>
      </c>
      <c r="G15" s="354" t="s">
        <v>23</v>
      </c>
      <c r="H15" s="354" t="s">
        <v>77</v>
      </c>
      <c r="I15" s="354">
        <v>1399</v>
      </c>
      <c r="J15" s="686" t="s">
        <v>25</v>
      </c>
      <c r="K15" s="233">
        <v>1</v>
      </c>
      <c r="L15" s="592"/>
      <c r="M15" s="32" t="s">
        <v>71</v>
      </c>
      <c r="N15" s="180"/>
      <c r="O15" s="180"/>
      <c r="P15" s="179"/>
    </row>
    <row r="16" spans="1:16" s="5" customFormat="1" ht="36" customHeight="1">
      <c r="A16" s="354">
        <v>10</v>
      </c>
      <c r="B16" s="43" t="s">
        <v>20</v>
      </c>
      <c r="C16" s="43"/>
      <c r="D16" s="582" t="s">
        <v>1766</v>
      </c>
      <c r="E16" s="33" t="s">
        <v>1796</v>
      </c>
      <c r="F16" s="162">
        <v>3000000</v>
      </c>
      <c r="G16" s="354" t="s">
        <v>23</v>
      </c>
      <c r="H16" s="354" t="s">
        <v>77</v>
      </c>
      <c r="I16" s="354">
        <v>1399</v>
      </c>
      <c r="J16" s="686" t="s">
        <v>25</v>
      </c>
      <c r="K16" s="233">
        <v>1</v>
      </c>
      <c r="L16" s="592"/>
      <c r="M16" s="32" t="s">
        <v>71</v>
      </c>
      <c r="N16" s="180"/>
      <c r="O16" s="180"/>
      <c r="P16" s="179"/>
    </row>
    <row r="17" spans="1:17" s="5" customFormat="1" ht="36" customHeight="1">
      <c r="A17" s="354">
        <v>11</v>
      </c>
      <c r="B17" s="43" t="s">
        <v>20</v>
      </c>
      <c r="C17" s="43"/>
      <c r="D17" s="582" t="s">
        <v>1766</v>
      </c>
      <c r="E17" s="33" t="s">
        <v>1636</v>
      </c>
      <c r="F17" s="162">
        <v>200000</v>
      </c>
      <c r="G17" s="354" t="s">
        <v>23</v>
      </c>
      <c r="H17" s="354" t="s">
        <v>77</v>
      </c>
      <c r="I17" s="354">
        <v>1399</v>
      </c>
      <c r="J17" s="354" t="s">
        <v>25</v>
      </c>
      <c r="K17" s="233">
        <v>1</v>
      </c>
      <c r="L17" s="180"/>
      <c r="M17" s="32" t="s">
        <v>71</v>
      </c>
      <c r="N17" s="180"/>
      <c r="O17" s="180"/>
      <c r="P17" s="179"/>
    </row>
    <row r="18" spans="1:17" s="5" customFormat="1" ht="45.6" customHeight="1">
      <c r="A18" s="354">
        <v>12</v>
      </c>
      <c r="B18" s="43" t="s">
        <v>20</v>
      </c>
      <c r="C18" s="43"/>
      <c r="D18" s="582" t="s">
        <v>1766</v>
      </c>
      <c r="E18" s="33" t="s">
        <v>1797</v>
      </c>
      <c r="F18" s="162">
        <v>60000</v>
      </c>
      <c r="G18" s="354" t="s">
        <v>23</v>
      </c>
      <c r="H18" s="354" t="s">
        <v>77</v>
      </c>
      <c r="I18" s="354">
        <v>1399</v>
      </c>
      <c r="J18" s="354" t="s">
        <v>25</v>
      </c>
      <c r="K18" s="233">
        <v>1</v>
      </c>
      <c r="L18" s="180"/>
      <c r="M18" s="43" t="s">
        <v>33</v>
      </c>
      <c r="N18" s="180"/>
      <c r="O18" s="180"/>
      <c r="P18" s="179"/>
    </row>
    <row r="19" spans="1:17" s="5" customFormat="1" ht="52.5" customHeight="1">
      <c r="A19" s="354">
        <v>13</v>
      </c>
      <c r="B19" s="43" t="s">
        <v>20</v>
      </c>
      <c r="C19" s="43" t="s">
        <v>1798</v>
      </c>
      <c r="D19" s="43" t="s">
        <v>1523</v>
      </c>
      <c r="E19" s="32" t="s">
        <v>1799</v>
      </c>
      <c r="F19" s="162">
        <v>7578100</v>
      </c>
      <c r="G19" s="354" t="s">
        <v>23</v>
      </c>
      <c r="H19" s="354" t="s">
        <v>77</v>
      </c>
      <c r="I19" s="354">
        <v>1399</v>
      </c>
      <c r="J19" s="354" t="s">
        <v>25</v>
      </c>
      <c r="K19" s="161">
        <v>1</v>
      </c>
      <c r="L19" s="180"/>
      <c r="M19" s="43" t="s">
        <v>33</v>
      </c>
      <c r="N19" s="180"/>
      <c r="O19" s="180"/>
      <c r="P19" s="179"/>
    </row>
    <row r="20" spans="1:17" s="574" customFormat="1" ht="36">
      <c r="A20" s="354">
        <v>14</v>
      </c>
      <c r="B20" s="32" t="s">
        <v>20</v>
      </c>
      <c r="C20" s="32" t="s">
        <v>1798</v>
      </c>
      <c r="D20" s="32" t="s">
        <v>1523</v>
      </c>
      <c r="E20" s="32" t="s">
        <v>1799</v>
      </c>
      <c r="F20" s="162">
        <v>7578100</v>
      </c>
      <c r="G20" s="354" t="s">
        <v>23</v>
      </c>
      <c r="H20" s="354" t="s">
        <v>77</v>
      </c>
      <c r="I20" s="354">
        <v>1399</v>
      </c>
      <c r="J20" s="354" t="s">
        <v>25</v>
      </c>
      <c r="K20" s="161">
        <v>1</v>
      </c>
      <c r="L20" s="180"/>
      <c r="M20" s="43" t="s">
        <v>33</v>
      </c>
      <c r="N20" s="180"/>
      <c r="O20" s="180"/>
      <c r="P20" s="179"/>
    </row>
    <row r="21" spans="1:17" s="5" customFormat="1" ht="52.5" customHeight="1">
      <c r="A21" s="354">
        <v>15</v>
      </c>
      <c r="B21" s="43" t="s">
        <v>20</v>
      </c>
      <c r="C21" s="43" t="s">
        <v>374</v>
      </c>
      <c r="D21" s="43" t="s">
        <v>391</v>
      </c>
      <c r="E21" s="32" t="s">
        <v>390</v>
      </c>
      <c r="F21" s="162">
        <v>69400</v>
      </c>
      <c r="G21" s="83" t="s">
        <v>23</v>
      </c>
      <c r="H21" s="83" t="s">
        <v>77</v>
      </c>
      <c r="I21" s="83">
        <v>1399</v>
      </c>
      <c r="J21" s="83" t="s">
        <v>25</v>
      </c>
      <c r="K21" s="161">
        <v>1</v>
      </c>
      <c r="L21" s="180"/>
      <c r="M21" s="43" t="s">
        <v>33</v>
      </c>
      <c r="N21" s="180"/>
      <c r="O21" s="180"/>
      <c r="P21" s="179"/>
    </row>
    <row r="22" spans="1:17" ht="43.15" customHeight="1">
      <c r="A22" s="354">
        <v>16</v>
      </c>
      <c r="B22" s="43" t="s">
        <v>20</v>
      </c>
      <c r="C22" s="43" t="s">
        <v>374</v>
      </c>
      <c r="D22" s="169" t="s">
        <v>28</v>
      </c>
      <c r="E22" s="85" t="s">
        <v>389</v>
      </c>
      <c r="F22" s="162">
        <v>89600</v>
      </c>
      <c r="G22" s="83" t="s">
        <v>23</v>
      </c>
      <c r="H22" s="83" t="s">
        <v>77</v>
      </c>
      <c r="I22" s="83">
        <v>1399</v>
      </c>
      <c r="J22" s="83" t="s">
        <v>25</v>
      </c>
      <c r="K22" s="161">
        <v>1</v>
      </c>
      <c r="L22" s="43"/>
      <c r="M22" s="43" t="s">
        <v>33</v>
      </c>
      <c r="N22" s="43"/>
      <c r="O22" s="43"/>
      <c r="P22" s="166"/>
    </row>
    <row r="23" spans="1:17" ht="49.9" customHeight="1">
      <c r="A23" s="354">
        <v>17</v>
      </c>
      <c r="B23" s="43" t="s">
        <v>20</v>
      </c>
      <c r="C23" s="43" t="s">
        <v>386</v>
      </c>
      <c r="D23" s="169" t="s">
        <v>28</v>
      </c>
      <c r="E23" s="32" t="s">
        <v>388</v>
      </c>
      <c r="F23" s="177">
        <v>9240000</v>
      </c>
      <c r="G23" s="83" t="s">
        <v>23</v>
      </c>
      <c r="H23" s="83" t="s">
        <v>77</v>
      </c>
      <c r="I23" s="83">
        <v>1399</v>
      </c>
      <c r="J23" s="83" t="s">
        <v>25</v>
      </c>
      <c r="K23" s="161">
        <v>1</v>
      </c>
      <c r="L23" s="43"/>
      <c r="M23" s="43" t="s">
        <v>33</v>
      </c>
      <c r="N23" s="43"/>
      <c r="O23" s="43"/>
      <c r="P23" s="170" t="s">
        <v>17</v>
      </c>
    </row>
    <row r="24" spans="1:17" ht="52.5" customHeight="1">
      <c r="A24" s="354">
        <v>18</v>
      </c>
      <c r="B24" s="43" t="s">
        <v>20</v>
      </c>
      <c r="C24" s="43" t="s">
        <v>374</v>
      </c>
      <c r="D24" s="169" t="s">
        <v>116</v>
      </c>
      <c r="E24" s="32" t="s">
        <v>22</v>
      </c>
      <c r="F24" s="162">
        <v>640000</v>
      </c>
      <c r="G24" s="83" t="s">
        <v>23</v>
      </c>
      <c r="H24" s="83" t="s">
        <v>77</v>
      </c>
      <c r="I24" s="83">
        <v>1399</v>
      </c>
      <c r="J24" s="83" t="s">
        <v>25</v>
      </c>
      <c r="K24" s="161">
        <v>1</v>
      </c>
      <c r="L24" s="178"/>
      <c r="M24" s="43" t="s">
        <v>33</v>
      </c>
      <c r="N24" s="43"/>
      <c r="O24" s="43"/>
      <c r="P24" s="170"/>
    </row>
    <row r="25" spans="1:17" ht="54">
      <c r="A25" s="354">
        <v>19</v>
      </c>
      <c r="B25" s="43" t="s">
        <v>20</v>
      </c>
      <c r="C25" s="43" t="s">
        <v>377</v>
      </c>
      <c r="D25" s="169" t="s">
        <v>116</v>
      </c>
      <c r="E25" s="32" t="s">
        <v>131</v>
      </c>
      <c r="F25" s="162">
        <v>17000</v>
      </c>
      <c r="G25" s="83" t="s">
        <v>23</v>
      </c>
      <c r="H25" s="83" t="s">
        <v>77</v>
      </c>
      <c r="I25" s="83">
        <v>1399</v>
      </c>
      <c r="J25" s="83" t="s">
        <v>25</v>
      </c>
      <c r="K25" s="161">
        <v>1</v>
      </c>
      <c r="L25" s="43"/>
      <c r="M25" s="43" t="s">
        <v>33</v>
      </c>
      <c r="N25" s="43"/>
      <c r="O25" s="43"/>
      <c r="P25" s="170"/>
    </row>
    <row r="26" spans="1:17" ht="72">
      <c r="A26" s="354">
        <v>20</v>
      </c>
      <c r="B26" s="43" t="s">
        <v>20</v>
      </c>
      <c r="C26" s="43">
        <v>0</v>
      </c>
      <c r="D26" s="169" t="s">
        <v>31</v>
      </c>
      <c r="E26" s="32" t="s">
        <v>146</v>
      </c>
      <c r="F26" s="162">
        <v>1500000</v>
      </c>
      <c r="G26" s="83" t="s">
        <v>23</v>
      </c>
      <c r="H26" s="83" t="s">
        <v>77</v>
      </c>
      <c r="I26" s="83">
        <v>1399</v>
      </c>
      <c r="J26" s="83" t="s">
        <v>25</v>
      </c>
      <c r="K26" s="161" t="s">
        <v>17</v>
      </c>
      <c r="L26" s="43" t="s">
        <v>72</v>
      </c>
      <c r="M26" s="43" t="s">
        <v>17</v>
      </c>
      <c r="N26" s="43" t="s">
        <v>951</v>
      </c>
      <c r="O26" s="43" t="s">
        <v>950</v>
      </c>
      <c r="P26" s="170"/>
    </row>
    <row r="27" spans="1:17" ht="53.25" customHeight="1">
      <c r="A27" s="354">
        <v>21</v>
      </c>
      <c r="B27" s="43" t="s">
        <v>20</v>
      </c>
      <c r="C27" s="43" t="s">
        <v>386</v>
      </c>
      <c r="D27" s="169" t="s">
        <v>31</v>
      </c>
      <c r="E27" s="32" t="s">
        <v>120</v>
      </c>
      <c r="F27" s="162">
        <v>270814</v>
      </c>
      <c r="G27" s="83" t="s">
        <v>23</v>
      </c>
      <c r="H27" s="83" t="s">
        <v>77</v>
      </c>
      <c r="I27" s="83">
        <v>1399</v>
      </c>
      <c r="J27" s="83" t="s">
        <v>25</v>
      </c>
      <c r="K27" s="161">
        <v>1</v>
      </c>
      <c r="L27" s="168"/>
      <c r="M27" s="168" t="s">
        <v>33</v>
      </c>
      <c r="N27" s="168"/>
      <c r="O27" s="43"/>
      <c r="P27" s="170"/>
    </row>
    <row r="28" spans="1:17" ht="49.5" customHeight="1">
      <c r="A28" s="354">
        <v>22</v>
      </c>
      <c r="B28" s="43" t="s">
        <v>20</v>
      </c>
      <c r="C28" s="43" t="s">
        <v>386</v>
      </c>
      <c r="D28" s="169" t="s">
        <v>31</v>
      </c>
      <c r="E28" s="32" t="s">
        <v>121</v>
      </c>
      <c r="F28" s="162">
        <v>218600</v>
      </c>
      <c r="G28" s="83" t="s">
        <v>23</v>
      </c>
      <c r="H28" s="83" t="s">
        <v>77</v>
      </c>
      <c r="I28" s="83">
        <v>1399</v>
      </c>
      <c r="J28" s="83" t="s">
        <v>25</v>
      </c>
      <c r="K28" s="161">
        <v>1</v>
      </c>
      <c r="L28" s="168"/>
      <c r="M28" s="168" t="s">
        <v>33</v>
      </c>
      <c r="N28" s="43" t="s">
        <v>17</v>
      </c>
      <c r="O28" s="43"/>
      <c r="P28" s="170"/>
    </row>
    <row r="29" spans="1:17" ht="51" customHeight="1">
      <c r="A29" s="354">
        <v>23</v>
      </c>
      <c r="B29" s="43" t="s">
        <v>20</v>
      </c>
      <c r="C29" s="43">
        <v>0</v>
      </c>
      <c r="D29" s="169" t="s">
        <v>31</v>
      </c>
      <c r="E29" s="32" t="s">
        <v>122</v>
      </c>
      <c r="F29" s="162">
        <v>254000</v>
      </c>
      <c r="G29" s="83" t="s">
        <v>23</v>
      </c>
      <c r="H29" s="83" t="s">
        <v>77</v>
      </c>
      <c r="I29" s="83">
        <v>1399</v>
      </c>
      <c r="J29" s="83" t="s">
        <v>25</v>
      </c>
      <c r="K29" s="161" t="s">
        <v>17</v>
      </c>
      <c r="L29" s="43" t="s">
        <v>72</v>
      </c>
      <c r="M29" s="43"/>
      <c r="N29" s="43" t="s">
        <v>951</v>
      </c>
      <c r="O29" s="43" t="s">
        <v>950</v>
      </c>
      <c r="P29" s="170"/>
    </row>
    <row r="30" spans="1:17" ht="140.25" customHeight="1">
      <c r="A30" s="354">
        <v>24</v>
      </c>
      <c r="B30" s="43" t="s">
        <v>20</v>
      </c>
      <c r="C30" s="58" t="s">
        <v>170</v>
      </c>
      <c r="D30" s="57" t="s">
        <v>54</v>
      </c>
      <c r="E30" s="353" t="s">
        <v>171</v>
      </c>
      <c r="F30" s="162">
        <v>4729070</v>
      </c>
      <c r="G30" s="83" t="s">
        <v>23</v>
      </c>
      <c r="H30" s="83" t="s">
        <v>77</v>
      </c>
      <c r="I30" s="83">
        <v>1399</v>
      </c>
      <c r="J30" s="83" t="s">
        <v>25</v>
      </c>
      <c r="K30" s="176">
        <v>1</v>
      </c>
      <c r="L30" s="57"/>
      <c r="M30" s="175" t="s">
        <v>33</v>
      </c>
      <c r="N30" s="57"/>
      <c r="O30" s="43"/>
      <c r="P30" s="58"/>
    </row>
    <row r="31" spans="1:17" ht="84.6" customHeight="1">
      <c r="A31" s="354">
        <v>25</v>
      </c>
      <c r="B31" s="43" t="s">
        <v>20</v>
      </c>
      <c r="C31" s="43" t="s">
        <v>379</v>
      </c>
      <c r="D31" s="43" t="s">
        <v>40</v>
      </c>
      <c r="E31" s="32" t="s">
        <v>133</v>
      </c>
      <c r="F31" s="162">
        <v>1413600</v>
      </c>
      <c r="G31" s="83" t="s">
        <v>23</v>
      </c>
      <c r="H31" s="83" t="s">
        <v>41</v>
      </c>
      <c r="I31" s="83">
        <v>1399</v>
      </c>
      <c r="J31" s="83" t="s">
        <v>25</v>
      </c>
      <c r="K31" s="176">
        <v>1</v>
      </c>
      <c r="L31" s="693" t="s">
        <v>1828</v>
      </c>
      <c r="M31" s="175" t="s">
        <v>33</v>
      </c>
      <c r="N31" s="452" t="s">
        <v>325</v>
      </c>
      <c r="O31" s="22" t="s">
        <v>959</v>
      </c>
      <c r="P31" s="893"/>
      <c r="Q31" s="29"/>
    </row>
    <row r="32" spans="1:17" ht="44.25" customHeight="1">
      <c r="A32" s="354">
        <v>26</v>
      </c>
      <c r="B32" s="43" t="s">
        <v>20</v>
      </c>
      <c r="C32" s="43" t="s">
        <v>379</v>
      </c>
      <c r="D32" s="43" t="s">
        <v>40</v>
      </c>
      <c r="E32" s="32" t="s">
        <v>385</v>
      </c>
      <c r="F32" s="162">
        <v>156100</v>
      </c>
      <c r="G32" s="83" t="s">
        <v>23</v>
      </c>
      <c r="H32" s="83" t="s">
        <v>41</v>
      </c>
      <c r="I32" s="83">
        <v>1399</v>
      </c>
      <c r="J32" s="83" t="s">
        <v>25</v>
      </c>
      <c r="K32" s="161">
        <v>1</v>
      </c>
      <c r="L32" s="168"/>
      <c r="M32" s="168" t="s">
        <v>384</v>
      </c>
      <c r="N32" s="168"/>
      <c r="O32" s="43"/>
      <c r="P32" s="894"/>
      <c r="Q32" s="29"/>
    </row>
    <row r="33" spans="1:34" ht="44.25" customHeight="1">
      <c r="A33" s="354">
        <v>27</v>
      </c>
      <c r="B33" s="43" t="s">
        <v>20</v>
      </c>
      <c r="C33" s="43" t="s">
        <v>379</v>
      </c>
      <c r="D33" s="43" t="s">
        <v>40</v>
      </c>
      <c r="E33" s="32" t="s">
        <v>276</v>
      </c>
      <c r="F33" s="162" t="s">
        <v>17</v>
      </c>
      <c r="G33" s="83"/>
      <c r="H33" s="83"/>
      <c r="I33" s="83">
        <v>1399</v>
      </c>
      <c r="J33" s="83" t="s">
        <v>25</v>
      </c>
      <c r="K33" s="161">
        <v>1</v>
      </c>
      <c r="L33" s="168"/>
      <c r="M33" s="168" t="s">
        <v>42</v>
      </c>
      <c r="N33" s="168"/>
      <c r="O33" s="174"/>
      <c r="P33" s="170"/>
      <c r="Q33" s="29"/>
    </row>
    <row r="34" spans="1:34" ht="78.599999999999994" customHeight="1">
      <c r="A34" s="354">
        <v>28</v>
      </c>
      <c r="B34" s="43" t="s">
        <v>20</v>
      </c>
      <c r="C34" s="43" t="s">
        <v>379</v>
      </c>
      <c r="D34" s="43" t="s">
        <v>40</v>
      </c>
      <c r="E34" s="32" t="s">
        <v>188</v>
      </c>
      <c r="F34" s="162"/>
      <c r="G34" s="83" t="s">
        <v>23</v>
      </c>
      <c r="H34" s="83" t="s">
        <v>41</v>
      </c>
      <c r="I34" s="83">
        <v>1399</v>
      </c>
      <c r="J34" s="83" t="s">
        <v>25</v>
      </c>
      <c r="K34" s="161">
        <v>1</v>
      </c>
      <c r="L34" s="168" t="s">
        <v>1828</v>
      </c>
      <c r="M34" s="43" t="s">
        <v>33</v>
      </c>
      <c r="N34" s="452" t="s">
        <v>325</v>
      </c>
      <c r="O34" s="22" t="s">
        <v>959</v>
      </c>
      <c r="P34" s="357"/>
      <c r="Q34" s="29"/>
    </row>
    <row r="35" spans="1:34" ht="54">
      <c r="A35" s="354">
        <v>29</v>
      </c>
      <c r="B35" s="43" t="s">
        <v>20</v>
      </c>
      <c r="C35" s="43" t="s">
        <v>379</v>
      </c>
      <c r="D35" s="43" t="s">
        <v>40</v>
      </c>
      <c r="E35" s="32" t="s">
        <v>383</v>
      </c>
      <c r="F35" s="162">
        <v>46176</v>
      </c>
      <c r="G35" s="83" t="s">
        <v>23</v>
      </c>
      <c r="H35" s="83" t="s">
        <v>41</v>
      </c>
      <c r="I35" s="83">
        <v>1399</v>
      </c>
      <c r="J35" s="83" t="s">
        <v>25</v>
      </c>
      <c r="K35" s="161">
        <v>1</v>
      </c>
      <c r="L35" s="168"/>
      <c r="M35" s="168" t="s">
        <v>33</v>
      </c>
      <c r="N35" s="168"/>
      <c r="O35" s="43"/>
      <c r="P35" s="358"/>
      <c r="Q35" s="29"/>
    </row>
    <row r="36" spans="1:34" ht="108">
      <c r="A36" s="354">
        <v>30</v>
      </c>
      <c r="B36" s="43" t="s">
        <v>20</v>
      </c>
      <c r="C36" s="43" t="s">
        <v>379</v>
      </c>
      <c r="D36" s="43" t="s">
        <v>40</v>
      </c>
      <c r="E36" s="32" t="s">
        <v>86</v>
      </c>
      <c r="F36" s="177">
        <v>750000</v>
      </c>
      <c r="G36" s="83" t="s">
        <v>23</v>
      </c>
      <c r="H36" s="83" t="s">
        <v>41</v>
      </c>
      <c r="I36" s="83">
        <v>1399</v>
      </c>
      <c r="J36" s="83" t="s">
        <v>25</v>
      </c>
      <c r="K36" s="161">
        <v>1</v>
      </c>
      <c r="L36" s="168" t="s">
        <v>1828</v>
      </c>
      <c r="M36" s="43" t="s">
        <v>33</v>
      </c>
      <c r="N36" s="452" t="s">
        <v>325</v>
      </c>
      <c r="O36" s="22" t="s">
        <v>959</v>
      </c>
      <c r="P36" s="170"/>
      <c r="Q36" s="29"/>
    </row>
    <row r="37" spans="1:34" ht="63.75" customHeight="1">
      <c r="A37" s="354">
        <v>31</v>
      </c>
      <c r="B37" s="43" t="s">
        <v>20</v>
      </c>
      <c r="C37" s="43" t="s">
        <v>379</v>
      </c>
      <c r="D37" s="43" t="s">
        <v>40</v>
      </c>
      <c r="E37" s="32" t="s">
        <v>382</v>
      </c>
      <c r="F37" s="162">
        <v>182250</v>
      </c>
      <c r="G37" s="83" t="s">
        <v>23</v>
      </c>
      <c r="H37" s="83" t="s">
        <v>41</v>
      </c>
      <c r="I37" s="83">
        <v>1399</v>
      </c>
      <c r="J37" s="83" t="s">
        <v>25</v>
      </c>
      <c r="K37" s="161">
        <v>1</v>
      </c>
      <c r="L37" s="168"/>
      <c r="M37" s="43" t="s">
        <v>33</v>
      </c>
      <c r="N37" s="168"/>
      <c r="O37" s="43"/>
      <c r="P37" s="170"/>
      <c r="Q37" s="29"/>
    </row>
    <row r="38" spans="1:34" ht="63.75" customHeight="1">
      <c r="A38" s="354">
        <v>32</v>
      </c>
      <c r="B38" s="43" t="s">
        <v>20</v>
      </c>
      <c r="C38" s="43" t="s">
        <v>379</v>
      </c>
      <c r="D38" s="43" t="s">
        <v>40</v>
      </c>
      <c r="E38" s="32" t="s">
        <v>163</v>
      </c>
      <c r="F38" s="177">
        <v>89280</v>
      </c>
      <c r="G38" s="83" t="s">
        <v>23</v>
      </c>
      <c r="H38" s="83" t="s">
        <v>41</v>
      </c>
      <c r="I38" s="83">
        <v>1399</v>
      </c>
      <c r="J38" s="83" t="s">
        <v>25</v>
      </c>
      <c r="K38" s="161">
        <v>1</v>
      </c>
      <c r="L38" s="168" t="s">
        <v>1828</v>
      </c>
      <c r="M38" s="43" t="s">
        <v>33</v>
      </c>
      <c r="N38" s="452" t="s">
        <v>325</v>
      </c>
      <c r="O38" s="22" t="s">
        <v>959</v>
      </c>
      <c r="P38" s="894"/>
      <c r="Q38" s="29"/>
      <c r="W38" s="806"/>
      <c r="X38" s="806"/>
      <c r="Y38" s="806"/>
      <c r="Z38" s="806"/>
      <c r="AA38" s="806"/>
      <c r="AB38" s="806"/>
      <c r="AC38" s="806"/>
      <c r="AD38" s="806"/>
      <c r="AE38" s="806"/>
      <c r="AF38" s="806"/>
      <c r="AG38" s="806"/>
      <c r="AH38" s="806"/>
    </row>
    <row r="39" spans="1:34" ht="63.75" customHeight="1">
      <c r="A39" s="354">
        <v>33</v>
      </c>
      <c r="B39" s="43" t="s">
        <v>20</v>
      </c>
      <c r="C39" s="43" t="s">
        <v>379</v>
      </c>
      <c r="D39" s="43" t="s">
        <v>40</v>
      </c>
      <c r="E39" s="32" t="s">
        <v>46</v>
      </c>
      <c r="F39" s="177">
        <v>262355</v>
      </c>
      <c r="G39" s="83" t="s">
        <v>23</v>
      </c>
      <c r="H39" s="83" t="s">
        <v>41</v>
      </c>
      <c r="I39" s="83">
        <v>1399</v>
      </c>
      <c r="J39" s="83" t="s">
        <v>25</v>
      </c>
      <c r="K39" s="161">
        <v>1</v>
      </c>
      <c r="L39" s="168" t="s">
        <v>1828</v>
      </c>
      <c r="M39" s="43" t="s">
        <v>33</v>
      </c>
      <c r="N39" s="452" t="s">
        <v>325</v>
      </c>
      <c r="O39" s="22" t="s">
        <v>959</v>
      </c>
      <c r="P39" s="894"/>
      <c r="Q39" s="29"/>
    </row>
    <row r="40" spans="1:34" ht="63.75" customHeight="1">
      <c r="A40" s="354">
        <v>34</v>
      </c>
      <c r="B40" s="43" t="s">
        <v>20</v>
      </c>
      <c r="C40" s="43" t="s">
        <v>379</v>
      </c>
      <c r="D40" s="43" t="s">
        <v>40</v>
      </c>
      <c r="E40" s="32" t="s">
        <v>381</v>
      </c>
      <c r="F40" s="162">
        <v>151800</v>
      </c>
      <c r="G40" s="83" t="s">
        <v>23</v>
      </c>
      <c r="H40" s="83" t="s">
        <v>41</v>
      </c>
      <c r="I40" s="83">
        <v>1399</v>
      </c>
      <c r="J40" s="83" t="s">
        <v>25</v>
      </c>
      <c r="K40" s="161">
        <v>1</v>
      </c>
      <c r="L40" s="168"/>
      <c r="M40" s="43" t="s">
        <v>33</v>
      </c>
      <c r="N40" s="168"/>
      <c r="O40" s="43"/>
      <c r="P40" s="170"/>
      <c r="Q40" s="29"/>
    </row>
    <row r="41" spans="1:34" ht="63.75" customHeight="1">
      <c r="A41" s="354">
        <v>35</v>
      </c>
      <c r="B41" s="43" t="s">
        <v>20</v>
      </c>
      <c r="C41" s="43" t="s">
        <v>379</v>
      </c>
      <c r="D41" s="43" t="s">
        <v>40</v>
      </c>
      <c r="E41" s="32" t="s">
        <v>90</v>
      </c>
      <c r="F41" s="162">
        <v>42514</v>
      </c>
      <c r="G41" s="83" t="s">
        <v>23</v>
      </c>
      <c r="H41" s="83" t="s">
        <v>41</v>
      </c>
      <c r="I41" s="83">
        <v>1399</v>
      </c>
      <c r="J41" s="83" t="s">
        <v>25</v>
      </c>
      <c r="K41" s="161">
        <v>1</v>
      </c>
      <c r="L41" s="168"/>
      <c r="M41" s="43" t="s">
        <v>33</v>
      </c>
      <c r="N41" s="168"/>
      <c r="O41" s="43"/>
      <c r="P41" s="894"/>
      <c r="Q41" s="29"/>
    </row>
    <row r="42" spans="1:34" ht="63.75" customHeight="1">
      <c r="A42" s="354">
        <v>36</v>
      </c>
      <c r="B42" s="43" t="s">
        <v>20</v>
      </c>
      <c r="C42" s="43" t="s">
        <v>379</v>
      </c>
      <c r="D42" s="43" t="s">
        <v>40</v>
      </c>
      <c r="E42" s="32" t="s">
        <v>152</v>
      </c>
      <c r="F42" s="177">
        <v>52050</v>
      </c>
      <c r="G42" s="83" t="s">
        <v>23</v>
      </c>
      <c r="H42" s="83" t="s">
        <v>41</v>
      </c>
      <c r="I42" s="83">
        <v>1399</v>
      </c>
      <c r="J42" s="83" t="s">
        <v>25</v>
      </c>
      <c r="K42" s="161">
        <v>1</v>
      </c>
      <c r="L42" s="168" t="s">
        <v>1828</v>
      </c>
      <c r="M42" s="43" t="s">
        <v>33</v>
      </c>
      <c r="N42" s="452" t="s">
        <v>325</v>
      </c>
      <c r="O42" s="22" t="s">
        <v>959</v>
      </c>
      <c r="P42" s="894"/>
      <c r="Q42" s="29"/>
    </row>
    <row r="43" spans="1:34" ht="63.75" customHeight="1">
      <c r="A43" s="354">
        <v>37</v>
      </c>
      <c r="B43" s="43" t="s">
        <v>20</v>
      </c>
      <c r="C43" s="43" t="s">
        <v>379</v>
      </c>
      <c r="D43" s="43" t="s">
        <v>40</v>
      </c>
      <c r="E43" s="32" t="s">
        <v>153</v>
      </c>
      <c r="F43" s="177">
        <v>72900</v>
      </c>
      <c r="G43" s="83" t="s">
        <v>23</v>
      </c>
      <c r="H43" s="83" t="s">
        <v>41</v>
      </c>
      <c r="I43" s="83">
        <v>1399</v>
      </c>
      <c r="J43" s="83" t="s">
        <v>25</v>
      </c>
      <c r="K43" s="161">
        <v>1</v>
      </c>
      <c r="L43" s="168" t="s">
        <v>1828</v>
      </c>
      <c r="M43" s="43" t="s">
        <v>33</v>
      </c>
      <c r="N43" s="452" t="s">
        <v>325</v>
      </c>
      <c r="O43" s="22" t="s">
        <v>959</v>
      </c>
      <c r="P43" s="894"/>
      <c r="Q43" s="29"/>
    </row>
    <row r="44" spans="1:34" ht="63.75" customHeight="1">
      <c r="A44" s="354">
        <v>38</v>
      </c>
      <c r="B44" s="43" t="s">
        <v>20</v>
      </c>
      <c r="C44" s="43" t="s">
        <v>379</v>
      </c>
      <c r="D44" s="43" t="s">
        <v>40</v>
      </c>
      <c r="E44" s="32" t="s">
        <v>154</v>
      </c>
      <c r="F44" s="177">
        <v>45550</v>
      </c>
      <c r="G44" s="83" t="s">
        <v>23</v>
      </c>
      <c r="H44" s="83" t="s">
        <v>41</v>
      </c>
      <c r="I44" s="83">
        <v>1399</v>
      </c>
      <c r="J44" s="83" t="s">
        <v>25</v>
      </c>
      <c r="K44" s="161">
        <v>1</v>
      </c>
      <c r="L44" s="168" t="s">
        <v>1828</v>
      </c>
      <c r="M44" s="43" t="s">
        <v>33</v>
      </c>
      <c r="N44" s="452" t="s">
        <v>325</v>
      </c>
      <c r="O44" s="22" t="s">
        <v>959</v>
      </c>
      <c r="P44" s="894"/>
      <c r="Q44" s="29"/>
    </row>
    <row r="45" spans="1:34" ht="79.5" customHeight="1">
      <c r="A45" s="354">
        <v>39</v>
      </c>
      <c r="B45" s="43" t="s">
        <v>20</v>
      </c>
      <c r="C45" s="43" t="s">
        <v>379</v>
      </c>
      <c r="D45" s="43" t="s">
        <v>40</v>
      </c>
      <c r="E45" s="32" t="s">
        <v>155</v>
      </c>
      <c r="F45" s="177">
        <v>126000</v>
      </c>
      <c r="G45" s="83" t="s">
        <v>23</v>
      </c>
      <c r="H45" s="83" t="s">
        <v>41</v>
      </c>
      <c r="I45" s="83">
        <v>1399</v>
      </c>
      <c r="J45" s="83" t="s">
        <v>25</v>
      </c>
      <c r="K45" s="161">
        <v>1</v>
      </c>
      <c r="L45" s="168" t="s">
        <v>1828</v>
      </c>
      <c r="M45" s="43" t="s">
        <v>33</v>
      </c>
      <c r="N45" s="452" t="s">
        <v>325</v>
      </c>
      <c r="O45" s="22" t="s">
        <v>959</v>
      </c>
      <c r="P45" s="894"/>
      <c r="Q45" s="29"/>
    </row>
    <row r="46" spans="1:34" ht="108">
      <c r="A46" s="354">
        <v>40</v>
      </c>
      <c r="B46" s="43" t="s">
        <v>20</v>
      </c>
      <c r="C46" s="43" t="s">
        <v>379</v>
      </c>
      <c r="D46" s="43" t="s">
        <v>40</v>
      </c>
      <c r="E46" s="32" t="s">
        <v>181</v>
      </c>
      <c r="F46" s="177">
        <v>52080</v>
      </c>
      <c r="G46" s="83" t="s">
        <v>23</v>
      </c>
      <c r="H46" s="83" t="s">
        <v>41</v>
      </c>
      <c r="I46" s="83">
        <v>1399</v>
      </c>
      <c r="J46" s="83" t="s">
        <v>25</v>
      </c>
      <c r="K46" s="161">
        <v>1</v>
      </c>
      <c r="L46" s="168" t="s">
        <v>1828</v>
      </c>
      <c r="M46" s="43" t="s">
        <v>33</v>
      </c>
      <c r="N46" s="452" t="s">
        <v>325</v>
      </c>
      <c r="O46" s="22" t="s">
        <v>959</v>
      </c>
      <c r="P46" s="170"/>
      <c r="Q46" s="29"/>
    </row>
    <row r="47" spans="1:34" ht="83.25" customHeight="1">
      <c r="A47" s="354">
        <v>41</v>
      </c>
      <c r="B47" s="43" t="s">
        <v>20</v>
      </c>
      <c r="C47" s="43" t="s">
        <v>379</v>
      </c>
      <c r="D47" s="43" t="s">
        <v>40</v>
      </c>
      <c r="E47" s="32" t="s">
        <v>380</v>
      </c>
      <c r="F47" s="177">
        <v>330000</v>
      </c>
      <c r="G47" s="83" t="s">
        <v>23</v>
      </c>
      <c r="H47" s="83" t="s">
        <v>41</v>
      </c>
      <c r="I47" s="83">
        <v>1399</v>
      </c>
      <c r="J47" s="83" t="s">
        <v>25</v>
      </c>
      <c r="K47" s="161">
        <v>1</v>
      </c>
      <c r="L47" s="168" t="s">
        <v>1828</v>
      </c>
      <c r="M47" s="43" t="s">
        <v>33</v>
      </c>
      <c r="N47" s="452" t="s">
        <v>325</v>
      </c>
      <c r="O47" s="22" t="s">
        <v>959</v>
      </c>
      <c r="P47" s="894"/>
      <c r="Q47" s="29"/>
    </row>
    <row r="48" spans="1:34" ht="108">
      <c r="A48" s="354">
        <v>42</v>
      </c>
      <c r="B48" s="43" t="s">
        <v>20</v>
      </c>
      <c r="C48" s="43" t="s">
        <v>379</v>
      </c>
      <c r="D48" s="43" t="s">
        <v>40</v>
      </c>
      <c r="E48" s="102" t="s">
        <v>378</v>
      </c>
      <c r="F48" s="177">
        <v>300000</v>
      </c>
      <c r="G48" s="83" t="s">
        <v>23</v>
      </c>
      <c r="H48" s="83" t="s">
        <v>41</v>
      </c>
      <c r="I48" s="83">
        <v>1399</v>
      </c>
      <c r="J48" s="83" t="s">
        <v>25</v>
      </c>
      <c r="K48" s="161">
        <v>1</v>
      </c>
      <c r="L48" s="168" t="s">
        <v>1828</v>
      </c>
      <c r="M48" s="43" t="s">
        <v>33</v>
      </c>
      <c r="N48" s="452" t="s">
        <v>325</v>
      </c>
      <c r="O48" s="22" t="s">
        <v>959</v>
      </c>
      <c r="P48" s="894"/>
      <c r="Q48" s="29"/>
    </row>
    <row r="49" spans="1:17" ht="90.6" customHeight="1">
      <c r="A49" s="354">
        <v>43</v>
      </c>
      <c r="B49" s="43" t="s">
        <v>20</v>
      </c>
      <c r="C49" s="43" t="s">
        <v>377</v>
      </c>
      <c r="D49" s="43" t="s">
        <v>40</v>
      </c>
      <c r="E49" s="32" t="s">
        <v>376</v>
      </c>
      <c r="F49" s="177">
        <v>585000</v>
      </c>
      <c r="G49" s="83" t="s">
        <v>23</v>
      </c>
      <c r="H49" s="83" t="s">
        <v>41</v>
      </c>
      <c r="I49" s="83">
        <v>1399</v>
      </c>
      <c r="J49" s="83" t="s">
        <v>25</v>
      </c>
      <c r="K49" s="161">
        <v>1</v>
      </c>
      <c r="L49" s="168" t="s">
        <v>1828</v>
      </c>
      <c r="M49" s="43" t="s">
        <v>33</v>
      </c>
      <c r="N49" s="452" t="s">
        <v>325</v>
      </c>
      <c r="O49" s="22" t="s">
        <v>959</v>
      </c>
      <c r="P49" s="894"/>
      <c r="Q49" s="29"/>
    </row>
    <row r="50" spans="1:17" ht="55.9" customHeight="1">
      <c r="A50" s="354">
        <v>44</v>
      </c>
      <c r="B50" s="6" t="s">
        <v>75</v>
      </c>
      <c r="C50" s="43"/>
      <c r="D50" s="164" t="s">
        <v>76</v>
      </c>
      <c r="E50" s="164" t="s">
        <v>363</v>
      </c>
      <c r="F50" s="162">
        <v>122682149</v>
      </c>
      <c r="G50" s="83" t="s">
        <v>23</v>
      </c>
      <c r="H50" s="6" t="s">
        <v>77</v>
      </c>
      <c r="I50" s="83">
        <v>1399</v>
      </c>
      <c r="J50" s="6" t="s">
        <v>25</v>
      </c>
      <c r="K50" s="684">
        <v>1</v>
      </c>
      <c r="L50" s="43"/>
      <c r="M50" s="43" t="s">
        <v>33</v>
      </c>
      <c r="N50" s="6"/>
      <c r="O50" s="6"/>
      <c r="P50" s="43"/>
    </row>
    <row r="51" spans="1:17" s="165" customFormat="1" ht="63" customHeight="1">
      <c r="A51" s="354">
        <v>45</v>
      </c>
      <c r="B51" s="43" t="s">
        <v>20</v>
      </c>
      <c r="C51" s="43" t="s">
        <v>374</v>
      </c>
      <c r="D51" s="43" t="s">
        <v>111</v>
      </c>
      <c r="E51" s="32" t="s">
        <v>375</v>
      </c>
      <c r="F51" s="162">
        <v>235000</v>
      </c>
      <c r="G51" s="354" t="s">
        <v>23</v>
      </c>
      <c r="H51" s="354" t="s">
        <v>77</v>
      </c>
      <c r="I51" s="354">
        <v>1399</v>
      </c>
      <c r="J51" s="354" t="s">
        <v>25</v>
      </c>
      <c r="K51" s="684">
        <v>1</v>
      </c>
      <c r="L51" s="101"/>
      <c r="M51" s="101" t="s">
        <v>71</v>
      </c>
      <c r="N51" s="167" t="s">
        <v>17</v>
      </c>
      <c r="O51" s="172" t="s">
        <v>17</v>
      </c>
      <c r="P51" s="470"/>
    </row>
    <row r="52" spans="1:17" s="165" customFormat="1" ht="58.15" customHeight="1">
      <c r="A52" s="354">
        <v>46</v>
      </c>
      <c r="B52" s="43" t="s">
        <v>20</v>
      </c>
      <c r="C52" s="43" t="s">
        <v>374</v>
      </c>
      <c r="D52" s="43" t="s">
        <v>111</v>
      </c>
      <c r="E52" s="32" t="s">
        <v>373</v>
      </c>
      <c r="F52" s="162">
        <v>160000</v>
      </c>
      <c r="G52" s="354" t="s">
        <v>23</v>
      </c>
      <c r="H52" s="354" t="s">
        <v>372</v>
      </c>
      <c r="I52" s="354">
        <v>1399</v>
      </c>
      <c r="J52" s="354" t="s">
        <v>25</v>
      </c>
      <c r="K52" s="684">
        <v>1</v>
      </c>
      <c r="L52" s="685"/>
      <c r="M52" s="101" t="s">
        <v>71</v>
      </c>
      <c r="N52" s="167"/>
      <c r="O52" s="167"/>
      <c r="P52" s="470"/>
    </row>
    <row r="53" spans="1:17" s="165" customFormat="1" ht="73.900000000000006" customHeight="1">
      <c r="A53" s="354">
        <v>47</v>
      </c>
      <c r="B53" s="43" t="s">
        <v>20</v>
      </c>
      <c r="C53" s="43" t="s">
        <v>1455</v>
      </c>
      <c r="D53" s="354" t="s">
        <v>366</v>
      </c>
      <c r="E53" s="395" t="s">
        <v>1456</v>
      </c>
      <c r="F53" s="544">
        <v>475029</v>
      </c>
      <c r="G53" s="354" t="s">
        <v>1125</v>
      </c>
      <c r="H53" s="354" t="s">
        <v>69</v>
      </c>
      <c r="I53" s="354">
        <v>1399</v>
      </c>
      <c r="J53" s="354" t="s">
        <v>25</v>
      </c>
      <c r="K53" s="684">
        <v>1</v>
      </c>
      <c r="L53" s="167"/>
      <c r="M53" s="101" t="s">
        <v>71</v>
      </c>
      <c r="N53" s="167"/>
      <c r="O53" s="167"/>
      <c r="P53" s="46"/>
    </row>
    <row r="54" spans="1:17" s="165" customFormat="1" ht="66" customHeight="1">
      <c r="A54" s="354">
        <v>48</v>
      </c>
      <c r="B54" s="43" t="s">
        <v>20</v>
      </c>
      <c r="C54" s="43" t="s">
        <v>1455</v>
      </c>
      <c r="D54" s="354" t="s">
        <v>366</v>
      </c>
      <c r="E54" s="395" t="s">
        <v>1457</v>
      </c>
      <c r="F54" s="544">
        <v>9147</v>
      </c>
      <c r="G54" s="354" t="s">
        <v>1125</v>
      </c>
      <c r="H54" s="354" t="s">
        <v>69</v>
      </c>
      <c r="I54" s="354">
        <v>1399</v>
      </c>
      <c r="J54" s="354" t="s">
        <v>25</v>
      </c>
      <c r="K54" s="684">
        <v>1</v>
      </c>
      <c r="L54" s="167"/>
      <c r="M54" s="101" t="s">
        <v>71</v>
      </c>
      <c r="N54" s="167"/>
      <c r="O54" s="167"/>
      <c r="P54" s="46"/>
    </row>
    <row r="55" spans="1:17" s="165" customFormat="1" ht="58.15" customHeight="1">
      <c r="A55" s="354">
        <v>49</v>
      </c>
      <c r="B55" s="43" t="s">
        <v>20</v>
      </c>
      <c r="C55" s="43" t="s">
        <v>1455</v>
      </c>
      <c r="D55" s="354" t="s">
        <v>366</v>
      </c>
      <c r="E55" s="396" t="s">
        <v>1458</v>
      </c>
      <c r="F55" s="545">
        <v>81158</v>
      </c>
      <c r="G55" s="354" t="s">
        <v>1125</v>
      </c>
      <c r="H55" s="354" t="s">
        <v>69</v>
      </c>
      <c r="I55" s="354">
        <v>1399</v>
      </c>
      <c r="J55" s="354" t="s">
        <v>25</v>
      </c>
      <c r="K55" s="684">
        <v>1</v>
      </c>
      <c r="L55" s="685"/>
      <c r="M55" s="101" t="s">
        <v>370</v>
      </c>
      <c r="N55" s="167"/>
      <c r="O55" s="167"/>
      <c r="P55" s="470"/>
    </row>
    <row r="56" spans="1:17" s="165" customFormat="1" ht="58.15" customHeight="1">
      <c r="A56" s="354">
        <v>50</v>
      </c>
      <c r="B56" s="43" t="s">
        <v>20</v>
      </c>
      <c r="C56" s="43" t="s">
        <v>1455</v>
      </c>
      <c r="D56" s="354" t="s">
        <v>366</v>
      </c>
      <c r="E56" s="546" t="s">
        <v>1459</v>
      </c>
      <c r="F56" s="544">
        <v>80994</v>
      </c>
      <c r="G56" s="354" t="s">
        <v>1125</v>
      </c>
      <c r="H56" s="354" t="s">
        <v>69</v>
      </c>
      <c r="I56" s="354">
        <v>1399</v>
      </c>
      <c r="J56" s="354" t="s">
        <v>25</v>
      </c>
      <c r="K56" s="161">
        <v>1</v>
      </c>
      <c r="L56" s="167"/>
      <c r="M56" s="168" t="s">
        <v>71</v>
      </c>
      <c r="N56" s="167"/>
      <c r="O56" s="167"/>
      <c r="P56" s="470"/>
    </row>
    <row r="57" spans="1:17" s="165" customFormat="1" ht="89.25" customHeight="1">
      <c r="A57" s="354">
        <v>51</v>
      </c>
      <c r="B57" s="43" t="s">
        <v>20</v>
      </c>
      <c r="C57" s="43" t="s">
        <v>1455</v>
      </c>
      <c r="D57" s="354" t="s">
        <v>366</v>
      </c>
      <c r="E57" s="396" t="s">
        <v>1460</v>
      </c>
      <c r="F57" s="547" t="s">
        <v>371</v>
      </c>
      <c r="G57" s="354" t="s">
        <v>1125</v>
      </c>
      <c r="H57" s="354" t="s">
        <v>69</v>
      </c>
      <c r="I57" s="354">
        <v>1399</v>
      </c>
      <c r="J57" s="354" t="s">
        <v>25</v>
      </c>
      <c r="K57" s="161">
        <v>1</v>
      </c>
      <c r="L57" s="168" t="s">
        <v>1828</v>
      </c>
      <c r="M57" s="168" t="s">
        <v>71</v>
      </c>
      <c r="N57" s="468" t="s">
        <v>325</v>
      </c>
      <c r="O57" s="22" t="s">
        <v>959</v>
      </c>
      <c r="P57" s="470"/>
    </row>
    <row r="58" spans="1:17" s="165" customFormat="1" ht="58.15" customHeight="1">
      <c r="A58" s="354">
        <v>52</v>
      </c>
      <c r="B58" s="43" t="s">
        <v>20</v>
      </c>
      <c r="C58" s="43" t="s">
        <v>1455</v>
      </c>
      <c r="D58" s="354" t="s">
        <v>366</v>
      </c>
      <c r="E58" s="396" t="s">
        <v>1461</v>
      </c>
      <c r="F58" s="547">
        <v>27983</v>
      </c>
      <c r="G58" s="354" t="s">
        <v>1125</v>
      </c>
      <c r="H58" s="354" t="s">
        <v>69</v>
      </c>
      <c r="I58" s="354">
        <v>1399</v>
      </c>
      <c r="J58" s="354" t="s">
        <v>25</v>
      </c>
      <c r="K58" s="161">
        <v>1</v>
      </c>
      <c r="L58" s="167"/>
      <c r="M58" s="168" t="s">
        <v>71</v>
      </c>
      <c r="N58" s="167"/>
      <c r="O58" s="167"/>
      <c r="P58" s="470"/>
    </row>
    <row r="59" spans="1:17" s="165" customFormat="1" ht="58.15" customHeight="1">
      <c r="A59" s="354">
        <v>53</v>
      </c>
      <c r="B59" s="43" t="s">
        <v>20</v>
      </c>
      <c r="C59" s="43" t="s">
        <v>1455</v>
      </c>
      <c r="D59" s="354" t="s">
        <v>366</v>
      </c>
      <c r="E59" s="396" t="s">
        <v>1462</v>
      </c>
      <c r="F59" s="547">
        <v>41886</v>
      </c>
      <c r="G59" s="354" t="s">
        <v>1125</v>
      </c>
      <c r="H59" s="354" t="s">
        <v>69</v>
      </c>
      <c r="I59" s="354">
        <v>1399</v>
      </c>
      <c r="J59" s="354" t="s">
        <v>25</v>
      </c>
      <c r="K59" s="161">
        <v>1</v>
      </c>
      <c r="L59" s="168" t="s">
        <v>17</v>
      </c>
      <c r="M59" s="6" t="s">
        <v>370</v>
      </c>
      <c r="N59" s="167"/>
      <c r="O59" s="167"/>
      <c r="P59" s="470"/>
    </row>
    <row r="60" spans="1:17" s="165" customFormat="1" ht="66" customHeight="1">
      <c r="A60" s="354">
        <v>54</v>
      </c>
      <c r="B60" s="43" t="s">
        <v>20</v>
      </c>
      <c r="C60" s="43" t="s">
        <v>1455</v>
      </c>
      <c r="D60" s="354" t="s">
        <v>366</v>
      </c>
      <c r="E60" s="396" t="s">
        <v>1463</v>
      </c>
      <c r="F60" s="547" t="s">
        <v>369</v>
      </c>
      <c r="G60" s="354" t="s">
        <v>1125</v>
      </c>
      <c r="H60" s="354" t="s">
        <v>69</v>
      </c>
      <c r="I60" s="354">
        <v>1399</v>
      </c>
      <c r="J60" s="354" t="s">
        <v>25</v>
      </c>
      <c r="K60" s="171"/>
      <c r="L60" s="168" t="s">
        <v>3</v>
      </c>
      <c r="M60" s="168"/>
      <c r="N60" s="6" t="s">
        <v>333</v>
      </c>
      <c r="O60" s="43" t="s">
        <v>368</v>
      </c>
      <c r="P60" s="470"/>
    </row>
    <row r="61" spans="1:17" s="165" customFormat="1" ht="78.75" customHeight="1">
      <c r="A61" s="354">
        <v>55</v>
      </c>
      <c r="B61" s="43" t="s">
        <v>20</v>
      </c>
      <c r="C61" s="43" t="s">
        <v>1455</v>
      </c>
      <c r="D61" s="354" t="s">
        <v>366</v>
      </c>
      <c r="E61" s="396" t="s">
        <v>1464</v>
      </c>
      <c r="F61" s="547" t="s">
        <v>367</v>
      </c>
      <c r="G61" s="354" t="s">
        <v>1125</v>
      </c>
      <c r="H61" s="354" t="s">
        <v>69</v>
      </c>
      <c r="I61" s="354">
        <v>1399</v>
      </c>
      <c r="J61" s="354" t="s">
        <v>25</v>
      </c>
      <c r="K61" s="161"/>
      <c r="L61" s="168" t="s">
        <v>3</v>
      </c>
      <c r="M61" s="6"/>
      <c r="N61" s="6" t="s">
        <v>333</v>
      </c>
      <c r="O61" s="43" t="s">
        <v>368</v>
      </c>
      <c r="P61" s="470"/>
    </row>
    <row r="62" spans="1:17" s="165" customFormat="1" ht="78.75" customHeight="1">
      <c r="A62" s="354">
        <v>56</v>
      </c>
      <c r="B62" s="43" t="s">
        <v>20</v>
      </c>
      <c r="C62" s="43" t="s">
        <v>1455</v>
      </c>
      <c r="D62" s="354" t="s">
        <v>366</v>
      </c>
      <c r="E62" s="396" t="s">
        <v>1465</v>
      </c>
      <c r="F62" s="547">
        <v>38399</v>
      </c>
      <c r="G62" s="354" t="s">
        <v>1125</v>
      </c>
      <c r="H62" s="354" t="s">
        <v>69</v>
      </c>
      <c r="I62" s="354">
        <v>1399</v>
      </c>
      <c r="J62" s="354" t="s">
        <v>25</v>
      </c>
      <c r="K62" s="684">
        <v>1</v>
      </c>
      <c r="L62" s="168"/>
      <c r="M62" s="6" t="s">
        <v>33</v>
      </c>
      <c r="N62" s="167"/>
      <c r="O62" s="167"/>
      <c r="P62" s="470"/>
    </row>
    <row r="63" spans="1:17" s="165" customFormat="1" ht="72">
      <c r="A63" s="354">
        <v>57</v>
      </c>
      <c r="B63" s="43" t="s">
        <v>20</v>
      </c>
      <c r="C63" s="43" t="s">
        <v>1466</v>
      </c>
      <c r="D63" s="169" t="s">
        <v>156</v>
      </c>
      <c r="E63" s="85" t="s">
        <v>365</v>
      </c>
      <c r="F63" s="162">
        <v>16000000</v>
      </c>
      <c r="G63" s="354" t="s">
        <v>23</v>
      </c>
      <c r="H63" s="354" t="s">
        <v>77</v>
      </c>
      <c r="I63" s="354">
        <v>1399</v>
      </c>
      <c r="J63" s="354" t="s">
        <v>25</v>
      </c>
      <c r="K63" s="161"/>
      <c r="L63" s="168" t="s">
        <v>364</v>
      </c>
      <c r="M63" s="167"/>
      <c r="N63" s="468" t="s">
        <v>1467</v>
      </c>
      <c r="O63" s="468" t="s">
        <v>1847</v>
      </c>
      <c r="P63" s="166"/>
    </row>
    <row r="64" spans="1:17" s="552" customFormat="1" ht="72">
      <c r="A64" s="354">
        <v>58</v>
      </c>
      <c r="B64" s="43" t="s">
        <v>20</v>
      </c>
      <c r="C64" s="43"/>
      <c r="D64" s="236" t="s">
        <v>73</v>
      </c>
      <c r="E64" s="33" t="s">
        <v>142</v>
      </c>
      <c r="F64" s="47">
        <v>1282840</v>
      </c>
      <c r="G64" s="354" t="s">
        <v>23</v>
      </c>
      <c r="H64" s="354" t="s">
        <v>77</v>
      </c>
      <c r="I64" s="354">
        <v>1399</v>
      </c>
      <c r="J64" s="354" t="s">
        <v>25</v>
      </c>
      <c r="K64" s="233"/>
      <c r="L64" s="33" t="s">
        <v>3</v>
      </c>
      <c r="M64" s="33"/>
      <c r="N64" s="623" t="s">
        <v>581</v>
      </c>
      <c r="O64" s="236" t="s">
        <v>1848</v>
      </c>
      <c r="P64" s="553"/>
    </row>
    <row r="71" spans="1:15">
      <c r="A71" s="145"/>
      <c r="B71" s="145"/>
      <c r="C71" s="145"/>
      <c r="D71" s="145"/>
      <c r="E71" s="145"/>
      <c r="F71" s="145"/>
      <c r="G71" s="145"/>
      <c r="I71" s="145"/>
      <c r="J71" s="145"/>
      <c r="K71" s="145"/>
      <c r="L71" s="145"/>
      <c r="M71" s="145"/>
      <c r="N71" s="145"/>
      <c r="O71" s="145"/>
    </row>
  </sheetData>
  <mergeCells count="20">
    <mergeCell ref="P38:P39"/>
    <mergeCell ref="W38:AH38"/>
    <mergeCell ref="P41:P43"/>
    <mergeCell ref="P44:P45"/>
    <mergeCell ref="P47:P49"/>
    <mergeCell ref="P31:P32"/>
    <mergeCell ref="A1:P4"/>
    <mergeCell ref="A5:A6"/>
    <mergeCell ref="B5:B6"/>
    <mergeCell ref="C5:C6"/>
    <mergeCell ref="D5:D6"/>
    <mergeCell ref="E5:E6"/>
    <mergeCell ref="F5:H5"/>
    <mergeCell ref="I5:I6"/>
    <mergeCell ref="J5:J6"/>
    <mergeCell ref="K5:K6"/>
    <mergeCell ref="L5:M5"/>
    <mergeCell ref="N5:N6"/>
    <mergeCell ref="O5:O6"/>
    <mergeCell ref="P5:P6"/>
  </mergeCells>
  <printOptions horizontalCentered="1"/>
  <pageMargins left="0.2" right="0.2" top="0.5" bottom="0.5" header="0.3" footer="0.3"/>
  <pageSetup paperSize="9" scale="42" orientation="portrait" r:id="rId1"/>
  <headerFooter>
    <oddFooter>&amp;C&amp;P</oddFooter>
  </headerFooter>
</worksheet>
</file>

<file path=xl/worksheets/sheet34.xml><?xml version="1.0" encoding="utf-8"?>
<worksheet xmlns="http://schemas.openxmlformats.org/spreadsheetml/2006/main" xmlns:r="http://schemas.openxmlformats.org/officeDocument/2006/relationships">
  <sheetPr>
    <tabColor rgb="FF92D050"/>
  </sheetPr>
  <dimension ref="A1:AI54"/>
  <sheetViews>
    <sheetView rightToLeft="1" view="pageBreakPreview" zoomScale="81" zoomScaleSheetLayoutView="81" workbookViewId="0">
      <pane ySplit="6" topLeftCell="A7" activePane="bottomLeft" state="frozen"/>
      <selection pane="bottomLeft" activeCell="B7" sqref="B7"/>
    </sheetView>
  </sheetViews>
  <sheetFormatPr defaultColWidth="9.140625" defaultRowHeight="15"/>
  <cols>
    <col min="1" max="1" width="6.28515625" style="1" customWidth="1"/>
    <col min="2" max="2" width="13.28515625" style="10" customWidth="1"/>
    <col min="3" max="3" width="9.28515625" style="10" customWidth="1"/>
    <col min="4" max="4" width="16.85546875" style="10" customWidth="1"/>
    <col min="5" max="5" width="41.28515625" style="10" customWidth="1"/>
    <col min="6" max="6" width="13.7109375" style="2" customWidth="1"/>
    <col min="7" max="7" width="10" style="2" customWidth="1"/>
    <col min="8" max="8" width="14.7109375" style="2" customWidth="1"/>
    <col min="9" max="9" width="11" style="1" customWidth="1"/>
    <col min="10" max="10" width="14.42578125" style="1" customWidth="1"/>
    <col min="11" max="11" width="12" style="1" customWidth="1"/>
    <col min="12" max="12" width="7.5703125" style="145" customWidth="1"/>
    <col min="13" max="13" width="13.85546875" style="9" customWidth="1"/>
    <col min="14" max="14" width="25.7109375" style="9" customWidth="1"/>
    <col min="15" max="15" width="19.28515625" style="9" customWidth="1"/>
    <col min="16" max="16" width="13.42578125" style="145" customWidth="1"/>
    <col min="17" max="16384" width="9.140625" style="145"/>
  </cols>
  <sheetData>
    <row r="1" spans="1:16" ht="18" customHeight="1">
      <c r="A1" s="788" t="s">
        <v>1988</v>
      </c>
      <c r="B1" s="789"/>
      <c r="C1" s="789"/>
      <c r="D1" s="789"/>
      <c r="E1" s="789"/>
      <c r="F1" s="789"/>
      <c r="G1" s="789"/>
      <c r="H1" s="789"/>
      <c r="I1" s="789"/>
      <c r="J1" s="789"/>
      <c r="K1" s="789"/>
      <c r="L1" s="789"/>
      <c r="M1" s="789"/>
      <c r="N1" s="789"/>
      <c r="O1" s="789"/>
      <c r="P1" s="789"/>
    </row>
    <row r="2" spans="1:16" ht="18" customHeight="1">
      <c r="A2" s="789"/>
      <c r="B2" s="789"/>
      <c r="C2" s="789"/>
      <c r="D2" s="789"/>
      <c r="E2" s="789"/>
      <c r="F2" s="789"/>
      <c r="G2" s="789"/>
      <c r="H2" s="789"/>
      <c r="I2" s="789"/>
      <c r="J2" s="789"/>
      <c r="K2" s="789"/>
      <c r="L2" s="789"/>
      <c r="M2" s="789"/>
      <c r="N2" s="789"/>
      <c r="O2" s="789"/>
      <c r="P2" s="789"/>
    </row>
    <row r="3" spans="1:16" ht="18" customHeight="1">
      <c r="A3" s="789"/>
      <c r="B3" s="789"/>
      <c r="C3" s="789"/>
      <c r="D3" s="789"/>
      <c r="E3" s="789"/>
      <c r="F3" s="789"/>
      <c r="G3" s="789"/>
      <c r="H3" s="789"/>
      <c r="I3" s="789"/>
      <c r="J3" s="789"/>
      <c r="K3" s="789"/>
      <c r="L3" s="789"/>
      <c r="M3" s="789"/>
      <c r="N3" s="789"/>
      <c r="O3" s="789"/>
      <c r="P3" s="789"/>
    </row>
    <row r="4" spans="1:16" ht="18" customHeight="1">
      <c r="A4" s="790"/>
      <c r="B4" s="790"/>
      <c r="C4" s="790"/>
      <c r="D4" s="790"/>
      <c r="E4" s="790"/>
      <c r="F4" s="790"/>
      <c r="G4" s="790"/>
      <c r="H4" s="790"/>
      <c r="I4" s="790"/>
      <c r="J4" s="790"/>
      <c r="K4" s="790"/>
      <c r="L4" s="790"/>
      <c r="M4" s="790"/>
      <c r="N4" s="790"/>
      <c r="O4" s="790"/>
      <c r="P4" s="790"/>
    </row>
    <row r="5" spans="1:16" ht="41.25" customHeight="1">
      <c r="A5" s="791" t="s">
        <v>0</v>
      </c>
      <c r="B5" s="791" t="s">
        <v>14</v>
      </c>
      <c r="C5" s="791" t="s">
        <v>19</v>
      </c>
      <c r="D5" s="791" t="s">
        <v>1</v>
      </c>
      <c r="E5" s="791" t="s">
        <v>15</v>
      </c>
      <c r="F5" s="791" t="s">
        <v>9</v>
      </c>
      <c r="G5" s="791"/>
      <c r="H5" s="791"/>
      <c r="I5" s="791" t="s">
        <v>7</v>
      </c>
      <c r="J5" s="791" t="s">
        <v>6</v>
      </c>
      <c r="K5" s="791" t="s">
        <v>16</v>
      </c>
      <c r="L5" s="791" t="s">
        <v>2</v>
      </c>
      <c r="M5" s="791"/>
      <c r="N5" s="791" t="s">
        <v>5</v>
      </c>
      <c r="O5" s="791" t="s">
        <v>13</v>
      </c>
      <c r="P5" s="791" t="s">
        <v>8</v>
      </c>
    </row>
    <row r="6" spans="1:16" ht="33.6" customHeight="1">
      <c r="A6" s="791"/>
      <c r="B6" s="791"/>
      <c r="C6" s="791"/>
      <c r="D6" s="791"/>
      <c r="E6" s="791"/>
      <c r="F6" s="146" t="s">
        <v>10</v>
      </c>
      <c r="G6" s="146" t="s">
        <v>11</v>
      </c>
      <c r="H6" s="146" t="s">
        <v>12</v>
      </c>
      <c r="I6" s="791"/>
      <c r="J6" s="791"/>
      <c r="K6" s="791"/>
      <c r="L6" s="146" t="s">
        <v>3</v>
      </c>
      <c r="M6" s="146" t="s">
        <v>4</v>
      </c>
      <c r="N6" s="791"/>
      <c r="O6" s="791"/>
      <c r="P6" s="791"/>
    </row>
    <row r="7" spans="1:16" s="5" customFormat="1" ht="58.15" customHeight="1">
      <c r="A7" s="354">
        <v>1</v>
      </c>
      <c r="B7" s="90" t="s">
        <v>144</v>
      </c>
      <c r="C7" s="90" t="s">
        <v>1800</v>
      </c>
      <c r="D7" s="22" t="s">
        <v>320</v>
      </c>
      <c r="E7" s="40" t="s">
        <v>1629</v>
      </c>
      <c r="F7" s="47">
        <v>231667</v>
      </c>
      <c r="G7" s="583" t="s">
        <v>23</v>
      </c>
      <c r="H7" s="583" t="s">
        <v>77</v>
      </c>
      <c r="I7" s="53">
        <v>1399</v>
      </c>
      <c r="J7" s="53" t="s">
        <v>25</v>
      </c>
      <c r="K7" s="48">
        <v>1</v>
      </c>
      <c r="L7" s="578"/>
      <c r="M7" s="22" t="s">
        <v>33</v>
      </c>
      <c r="N7" s="90"/>
      <c r="O7" s="90"/>
      <c r="P7" s="578"/>
    </row>
    <row r="8" spans="1:16" s="574" customFormat="1" ht="36">
      <c r="A8" s="354">
        <v>2</v>
      </c>
      <c r="B8" s="90" t="s">
        <v>144</v>
      </c>
      <c r="C8" s="90" t="s">
        <v>1801</v>
      </c>
      <c r="D8" s="90" t="s">
        <v>1523</v>
      </c>
      <c r="E8" s="22" t="s">
        <v>1802</v>
      </c>
      <c r="F8" s="47">
        <v>1402200</v>
      </c>
      <c r="G8" s="583" t="s">
        <v>23</v>
      </c>
      <c r="H8" s="583" t="s">
        <v>77</v>
      </c>
      <c r="I8" s="53">
        <v>1399</v>
      </c>
      <c r="J8" s="53" t="s">
        <v>25</v>
      </c>
      <c r="K8" s="48">
        <v>1</v>
      </c>
      <c r="L8" s="578"/>
      <c r="M8" s="22" t="s">
        <v>33</v>
      </c>
      <c r="N8" s="90"/>
      <c r="O8" s="90"/>
      <c r="P8" s="578"/>
    </row>
    <row r="9" spans="1:16" ht="65.25" customHeight="1">
      <c r="A9" s="354">
        <v>3</v>
      </c>
      <c r="B9" s="90" t="s">
        <v>144</v>
      </c>
      <c r="C9" s="90" t="s">
        <v>330</v>
      </c>
      <c r="D9" s="40" t="s">
        <v>28</v>
      </c>
      <c r="E9" s="40" t="s">
        <v>331</v>
      </c>
      <c r="F9" s="47">
        <v>89600</v>
      </c>
      <c r="G9" s="19" t="s">
        <v>23</v>
      </c>
      <c r="H9" s="19" t="s">
        <v>77</v>
      </c>
      <c r="I9" s="53">
        <v>1399</v>
      </c>
      <c r="J9" s="53" t="s">
        <v>25</v>
      </c>
      <c r="K9" s="48">
        <v>1</v>
      </c>
      <c r="L9" s="19"/>
      <c r="M9" s="22" t="s">
        <v>33</v>
      </c>
      <c r="N9" s="22"/>
      <c r="O9" s="22"/>
      <c r="P9" s="110"/>
    </row>
    <row r="10" spans="1:16" ht="63" customHeight="1">
      <c r="A10" s="354">
        <v>4</v>
      </c>
      <c r="B10" s="90" t="s">
        <v>144</v>
      </c>
      <c r="C10" s="90" t="s">
        <v>330</v>
      </c>
      <c r="D10" s="40" t="s">
        <v>28</v>
      </c>
      <c r="E10" s="22" t="s">
        <v>332</v>
      </c>
      <c r="F10" s="47">
        <v>8400000</v>
      </c>
      <c r="G10" s="19" t="s">
        <v>23</v>
      </c>
      <c r="H10" s="19" t="s">
        <v>77</v>
      </c>
      <c r="I10" s="53">
        <v>1399</v>
      </c>
      <c r="J10" s="53" t="s">
        <v>25</v>
      </c>
      <c r="K10" s="48">
        <v>1</v>
      </c>
      <c r="L10" s="19"/>
      <c r="M10" s="22" t="s">
        <v>33</v>
      </c>
      <c r="N10" s="22"/>
      <c r="O10" s="22"/>
      <c r="P10" s="144" t="s">
        <v>17</v>
      </c>
    </row>
    <row r="11" spans="1:16" ht="65.25" customHeight="1">
      <c r="A11" s="354">
        <v>5</v>
      </c>
      <c r="B11" s="90" t="s">
        <v>144</v>
      </c>
      <c r="C11" s="90" t="s">
        <v>335</v>
      </c>
      <c r="D11" s="40" t="s">
        <v>28</v>
      </c>
      <c r="E11" s="22" t="s">
        <v>226</v>
      </c>
      <c r="F11" s="47">
        <v>41500</v>
      </c>
      <c r="G11" s="19" t="s">
        <v>23</v>
      </c>
      <c r="H11" s="19" t="s">
        <v>77</v>
      </c>
      <c r="I11" s="53">
        <v>1399</v>
      </c>
      <c r="J11" s="53" t="s">
        <v>25</v>
      </c>
      <c r="K11" s="48">
        <v>1</v>
      </c>
      <c r="L11" s="19"/>
      <c r="M11" s="22" t="s">
        <v>33</v>
      </c>
      <c r="N11" s="22"/>
      <c r="O11" s="144"/>
      <c r="P11" s="144"/>
    </row>
    <row r="12" spans="1:16" ht="53.45" customHeight="1">
      <c r="A12" s="354">
        <v>6</v>
      </c>
      <c r="B12" s="90" t="s">
        <v>144</v>
      </c>
      <c r="C12" s="150" t="s">
        <v>336</v>
      </c>
      <c r="D12" s="40" t="s">
        <v>116</v>
      </c>
      <c r="E12" s="22" t="s">
        <v>337</v>
      </c>
      <c r="F12" s="47">
        <v>3840000</v>
      </c>
      <c r="G12" s="19" t="s">
        <v>23</v>
      </c>
      <c r="H12" s="19" t="s">
        <v>77</v>
      </c>
      <c r="I12" s="53">
        <v>1399</v>
      </c>
      <c r="J12" s="53" t="s">
        <v>25</v>
      </c>
      <c r="K12" s="48">
        <v>1</v>
      </c>
      <c r="L12" s="19"/>
      <c r="M12" s="22" t="s">
        <v>33</v>
      </c>
      <c r="N12" s="22"/>
      <c r="O12" s="22"/>
      <c r="P12" s="144"/>
    </row>
    <row r="13" spans="1:16" ht="45" customHeight="1">
      <c r="A13" s="354">
        <v>7</v>
      </c>
      <c r="B13" s="90" t="s">
        <v>144</v>
      </c>
      <c r="C13" s="150" t="s">
        <v>336</v>
      </c>
      <c r="D13" s="40" t="s">
        <v>116</v>
      </c>
      <c r="E13" s="22" t="s">
        <v>79</v>
      </c>
      <c r="F13" s="47">
        <v>67000</v>
      </c>
      <c r="G13" s="19" t="s">
        <v>23</v>
      </c>
      <c r="H13" s="19" t="s">
        <v>77</v>
      </c>
      <c r="I13" s="53">
        <v>1399</v>
      </c>
      <c r="J13" s="53" t="s">
        <v>25</v>
      </c>
      <c r="K13" s="48">
        <v>1</v>
      </c>
      <c r="L13" s="19"/>
      <c r="M13" s="22" t="s">
        <v>33</v>
      </c>
      <c r="N13" s="22"/>
      <c r="O13" s="22"/>
      <c r="P13" s="144"/>
    </row>
    <row r="14" spans="1:16" ht="59.45" customHeight="1">
      <c r="A14" s="354">
        <v>8</v>
      </c>
      <c r="B14" s="90" t="s">
        <v>144</v>
      </c>
      <c r="C14" s="90"/>
      <c r="D14" s="40" t="s">
        <v>31</v>
      </c>
      <c r="E14" s="22" t="s">
        <v>338</v>
      </c>
      <c r="F14" s="47">
        <v>1500000</v>
      </c>
      <c r="G14" s="19" t="s">
        <v>23</v>
      </c>
      <c r="H14" s="19" t="s">
        <v>77</v>
      </c>
      <c r="I14" s="53">
        <v>1399</v>
      </c>
      <c r="J14" s="53" t="s">
        <v>25</v>
      </c>
      <c r="K14" s="48"/>
      <c r="L14" s="19" t="s">
        <v>3</v>
      </c>
      <c r="M14" s="22"/>
      <c r="N14" s="22" t="s">
        <v>339</v>
      </c>
      <c r="O14" s="22" t="s">
        <v>340</v>
      </c>
      <c r="P14" s="144"/>
    </row>
    <row r="15" spans="1:16" ht="43.9" customHeight="1">
      <c r="A15" s="354">
        <v>9</v>
      </c>
      <c r="B15" s="90" t="s">
        <v>144</v>
      </c>
      <c r="C15" s="90" t="s">
        <v>330</v>
      </c>
      <c r="D15" s="40" t="s">
        <v>31</v>
      </c>
      <c r="E15" s="22" t="s">
        <v>119</v>
      </c>
      <c r="F15" s="47">
        <v>304000</v>
      </c>
      <c r="G15" s="19" t="s">
        <v>23</v>
      </c>
      <c r="H15" s="19" t="s">
        <v>77</v>
      </c>
      <c r="I15" s="53">
        <v>1399</v>
      </c>
      <c r="J15" s="53" t="s">
        <v>25</v>
      </c>
      <c r="K15" s="48">
        <v>1</v>
      </c>
      <c r="L15" s="105"/>
      <c r="M15" s="22" t="s">
        <v>33</v>
      </c>
      <c r="N15" s="27"/>
      <c r="O15" s="46"/>
      <c r="P15" s="144"/>
    </row>
    <row r="16" spans="1:16" ht="54">
      <c r="A16" s="354">
        <v>10</v>
      </c>
      <c r="B16" s="90" t="s">
        <v>144</v>
      </c>
      <c r="C16" s="90" t="s">
        <v>330</v>
      </c>
      <c r="D16" s="40" t="s">
        <v>31</v>
      </c>
      <c r="E16" s="22" t="s">
        <v>120</v>
      </c>
      <c r="F16" s="47">
        <v>270814</v>
      </c>
      <c r="G16" s="19" t="s">
        <v>23</v>
      </c>
      <c r="H16" s="19" t="s">
        <v>77</v>
      </c>
      <c r="I16" s="53">
        <v>1399</v>
      </c>
      <c r="J16" s="53" t="s">
        <v>25</v>
      </c>
      <c r="K16" s="48">
        <v>1</v>
      </c>
      <c r="L16" s="105"/>
      <c r="M16" s="22" t="s">
        <v>33</v>
      </c>
      <c r="N16" s="27"/>
      <c r="O16" s="46"/>
      <c r="P16" s="144"/>
    </row>
    <row r="17" spans="1:35" ht="54">
      <c r="A17" s="354">
        <v>11</v>
      </c>
      <c r="B17" s="90" t="s">
        <v>144</v>
      </c>
      <c r="C17" s="90" t="s">
        <v>330</v>
      </c>
      <c r="D17" s="40" t="s">
        <v>31</v>
      </c>
      <c r="E17" s="22" t="s">
        <v>121</v>
      </c>
      <c r="F17" s="47">
        <v>194600</v>
      </c>
      <c r="G17" s="19" t="s">
        <v>23</v>
      </c>
      <c r="H17" s="19" t="s">
        <v>77</v>
      </c>
      <c r="I17" s="53">
        <v>1399</v>
      </c>
      <c r="J17" s="53" t="s">
        <v>25</v>
      </c>
      <c r="K17" s="48">
        <v>1</v>
      </c>
      <c r="L17" s="105"/>
      <c r="M17" s="22" t="s">
        <v>33</v>
      </c>
      <c r="N17" s="27"/>
      <c r="O17" s="46"/>
      <c r="P17" s="144"/>
    </row>
    <row r="18" spans="1:35" ht="54">
      <c r="A18" s="354">
        <v>12</v>
      </c>
      <c r="B18" s="90" t="s">
        <v>144</v>
      </c>
      <c r="C18" s="150" t="s">
        <v>341</v>
      </c>
      <c r="D18" s="40" t="s">
        <v>31</v>
      </c>
      <c r="E18" s="22" t="s">
        <v>122</v>
      </c>
      <c r="F18" s="47">
        <v>266000</v>
      </c>
      <c r="G18" s="19" t="s">
        <v>23</v>
      </c>
      <c r="H18" s="19" t="s">
        <v>77</v>
      </c>
      <c r="I18" s="53">
        <v>1399</v>
      </c>
      <c r="J18" s="53" t="s">
        <v>25</v>
      </c>
      <c r="K18" s="48">
        <v>1</v>
      </c>
      <c r="L18" s="105"/>
      <c r="M18" s="22" t="s">
        <v>33</v>
      </c>
      <c r="N18" s="27"/>
      <c r="O18" s="46"/>
      <c r="P18" s="144"/>
    </row>
    <row r="19" spans="1:35" ht="45" customHeight="1">
      <c r="A19" s="354">
        <v>13</v>
      </c>
      <c r="B19" s="90" t="s">
        <v>144</v>
      </c>
      <c r="C19" s="150" t="s">
        <v>342</v>
      </c>
      <c r="D19" s="22" t="s">
        <v>40</v>
      </c>
      <c r="E19" s="90" t="s">
        <v>343</v>
      </c>
      <c r="F19" s="47">
        <v>2827200</v>
      </c>
      <c r="G19" s="19" t="s">
        <v>23</v>
      </c>
      <c r="H19" s="19" t="s">
        <v>41</v>
      </c>
      <c r="I19" s="53">
        <v>1399</v>
      </c>
      <c r="J19" s="53" t="s">
        <v>25</v>
      </c>
      <c r="K19" s="48">
        <v>1</v>
      </c>
      <c r="L19" s="105"/>
      <c r="M19" s="22" t="s">
        <v>33</v>
      </c>
      <c r="N19" s="27"/>
      <c r="O19" s="154"/>
      <c r="P19" s="825"/>
      <c r="Q19" s="29"/>
      <c r="R19" s="29"/>
    </row>
    <row r="20" spans="1:35" ht="102.6" customHeight="1">
      <c r="A20" s="354">
        <v>14</v>
      </c>
      <c r="B20" s="90" t="s">
        <v>144</v>
      </c>
      <c r="C20" s="150"/>
      <c r="D20" s="22" t="s">
        <v>40</v>
      </c>
      <c r="E20" s="90" t="s">
        <v>344</v>
      </c>
      <c r="F20" s="177">
        <v>558000</v>
      </c>
      <c r="G20" s="19" t="s">
        <v>23</v>
      </c>
      <c r="H20" s="19" t="s">
        <v>41</v>
      </c>
      <c r="I20" s="53">
        <v>1399</v>
      </c>
      <c r="J20" s="53" t="s">
        <v>25</v>
      </c>
      <c r="K20" s="48">
        <v>1</v>
      </c>
      <c r="L20" s="105" t="s">
        <v>1828</v>
      </c>
      <c r="M20" s="22" t="s">
        <v>33</v>
      </c>
      <c r="N20" s="157" t="s">
        <v>348</v>
      </c>
      <c r="O20" s="22" t="s">
        <v>959</v>
      </c>
      <c r="P20" s="825"/>
      <c r="Q20" s="29"/>
      <c r="R20" s="29"/>
    </row>
    <row r="21" spans="1:35" ht="36">
      <c r="A21" s="354">
        <v>15</v>
      </c>
      <c r="B21" s="90" t="s">
        <v>144</v>
      </c>
      <c r="C21" s="150" t="s">
        <v>342</v>
      </c>
      <c r="D21" s="22" t="s">
        <v>40</v>
      </c>
      <c r="E21" s="90" t="s">
        <v>345</v>
      </c>
      <c r="F21" s="47">
        <v>5803200</v>
      </c>
      <c r="G21" s="19" t="s">
        <v>23</v>
      </c>
      <c r="H21" s="19" t="s">
        <v>41</v>
      </c>
      <c r="I21" s="53">
        <v>1399</v>
      </c>
      <c r="J21" s="53" t="s">
        <v>25</v>
      </c>
      <c r="K21" s="48">
        <v>1</v>
      </c>
      <c r="L21" s="105"/>
      <c r="M21" s="22" t="s">
        <v>33</v>
      </c>
      <c r="N21" s="27"/>
      <c r="O21" s="144"/>
      <c r="P21" s="825"/>
      <c r="Q21" s="29"/>
      <c r="R21" s="29"/>
    </row>
    <row r="22" spans="1:35" ht="36">
      <c r="A22" s="354">
        <v>16</v>
      </c>
      <c r="B22" s="90" t="s">
        <v>144</v>
      </c>
      <c r="C22" s="150" t="s">
        <v>342</v>
      </c>
      <c r="D22" s="22" t="s">
        <v>40</v>
      </c>
      <c r="E22" s="90" t="s">
        <v>346</v>
      </c>
      <c r="F22" s="47" t="s">
        <v>17</v>
      </c>
      <c r="G22" s="19" t="s">
        <v>17</v>
      </c>
      <c r="H22" s="19" t="s">
        <v>17</v>
      </c>
      <c r="I22" s="53">
        <v>1399</v>
      </c>
      <c r="J22" s="53" t="s">
        <v>25</v>
      </c>
      <c r="K22" s="48">
        <v>1</v>
      </c>
      <c r="L22" s="105"/>
      <c r="M22" s="22" t="s">
        <v>33</v>
      </c>
      <c r="N22" s="27"/>
      <c r="O22" s="155"/>
      <c r="P22" s="825"/>
      <c r="Q22" s="29"/>
      <c r="R22" s="29"/>
    </row>
    <row r="23" spans="1:35" ht="90">
      <c r="A23" s="354">
        <v>17</v>
      </c>
      <c r="B23" s="90" t="s">
        <v>144</v>
      </c>
      <c r="C23" s="90"/>
      <c r="D23" s="22" t="s">
        <v>40</v>
      </c>
      <c r="E23" s="90" t="s">
        <v>84</v>
      </c>
      <c r="F23" s="47">
        <v>1697808</v>
      </c>
      <c r="G23" s="19" t="s">
        <v>23</v>
      </c>
      <c r="H23" s="19" t="s">
        <v>41</v>
      </c>
      <c r="I23" s="53">
        <v>1399</v>
      </c>
      <c r="J23" s="53" t="s">
        <v>25</v>
      </c>
      <c r="K23" s="48">
        <v>1</v>
      </c>
      <c r="L23" s="105" t="s">
        <v>1828</v>
      </c>
      <c r="M23" s="22" t="s">
        <v>33</v>
      </c>
      <c r="N23" s="157" t="s">
        <v>348</v>
      </c>
      <c r="O23" s="22" t="s">
        <v>959</v>
      </c>
      <c r="P23" s="825"/>
      <c r="Q23" s="29"/>
      <c r="R23" s="29"/>
    </row>
    <row r="24" spans="1:35" ht="90">
      <c r="A24" s="354">
        <v>18</v>
      </c>
      <c r="B24" s="90" t="s">
        <v>144</v>
      </c>
      <c r="C24" s="90"/>
      <c r="D24" s="22" t="s">
        <v>40</v>
      </c>
      <c r="E24" s="156" t="s">
        <v>347</v>
      </c>
      <c r="F24" s="177">
        <v>343170</v>
      </c>
      <c r="G24" s="19" t="s">
        <v>23</v>
      </c>
      <c r="H24" s="19" t="s">
        <v>41</v>
      </c>
      <c r="I24" s="53">
        <v>1399</v>
      </c>
      <c r="J24" s="53" t="s">
        <v>25</v>
      </c>
      <c r="K24" s="48">
        <v>1</v>
      </c>
      <c r="L24" s="105" t="s">
        <v>1828</v>
      </c>
      <c r="M24" s="22" t="s">
        <v>33</v>
      </c>
      <c r="N24" s="157" t="s">
        <v>348</v>
      </c>
      <c r="O24" s="22" t="s">
        <v>959</v>
      </c>
      <c r="P24" s="825"/>
      <c r="Q24" s="29"/>
      <c r="R24" s="29"/>
    </row>
    <row r="25" spans="1:35" ht="90">
      <c r="A25" s="354">
        <v>19</v>
      </c>
      <c r="B25" s="90" t="s">
        <v>144</v>
      </c>
      <c r="C25" s="90"/>
      <c r="D25" s="22" t="s">
        <v>40</v>
      </c>
      <c r="E25" s="90" t="s">
        <v>349</v>
      </c>
      <c r="F25" s="177">
        <v>446400</v>
      </c>
      <c r="G25" s="19" t="s">
        <v>23</v>
      </c>
      <c r="H25" s="19" t="s">
        <v>41</v>
      </c>
      <c r="I25" s="53">
        <v>1399</v>
      </c>
      <c r="J25" s="53" t="s">
        <v>25</v>
      </c>
      <c r="K25" s="48">
        <v>1</v>
      </c>
      <c r="L25" s="105" t="s">
        <v>1828</v>
      </c>
      <c r="M25" s="22" t="s">
        <v>33</v>
      </c>
      <c r="N25" s="157" t="s">
        <v>348</v>
      </c>
      <c r="O25" s="22" t="s">
        <v>959</v>
      </c>
      <c r="P25" s="825"/>
      <c r="Q25" s="29"/>
      <c r="R25" s="29"/>
    </row>
    <row r="26" spans="1:35" ht="36">
      <c r="A26" s="354">
        <v>20</v>
      </c>
      <c r="B26" s="90" t="s">
        <v>144</v>
      </c>
      <c r="C26" s="150" t="s">
        <v>342</v>
      </c>
      <c r="D26" s="22" t="s">
        <v>40</v>
      </c>
      <c r="E26" s="90" t="s">
        <v>350</v>
      </c>
      <c r="F26" s="177">
        <v>79920</v>
      </c>
      <c r="G26" s="19" t="s">
        <v>23</v>
      </c>
      <c r="H26" s="19" t="s">
        <v>41</v>
      </c>
      <c r="I26" s="53">
        <v>1399</v>
      </c>
      <c r="J26" s="53" t="s">
        <v>25</v>
      </c>
      <c r="K26" s="48">
        <v>1</v>
      </c>
      <c r="L26" s="105"/>
      <c r="M26" s="22" t="s">
        <v>33</v>
      </c>
      <c r="N26" s="27"/>
      <c r="O26" s="144"/>
      <c r="P26" s="144"/>
      <c r="Q26" s="29"/>
      <c r="R26" s="29"/>
    </row>
    <row r="27" spans="1:35" ht="90">
      <c r="A27" s="354">
        <v>21</v>
      </c>
      <c r="B27" s="90" t="s">
        <v>144</v>
      </c>
      <c r="C27" s="150"/>
      <c r="D27" s="22" t="s">
        <v>40</v>
      </c>
      <c r="E27" s="90" t="s">
        <v>86</v>
      </c>
      <c r="F27" s="177">
        <v>750000</v>
      </c>
      <c r="G27" s="19" t="s">
        <v>23</v>
      </c>
      <c r="H27" s="19" t="s">
        <v>41</v>
      </c>
      <c r="I27" s="53">
        <v>1399</v>
      </c>
      <c r="J27" s="53" t="s">
        <v>25</v>
      </c>
      <c r="K27" s="48">
        <v>1</v>
      </c>
      <c r="L27" s="105" t="s">
        <v>1828</v>
      </c>
      <c r="M27" s="22" t="s">
        <v>33</v>
      </c>
      <c r="N27" s="157" t="s">
        <v>348</v>
      </c>
      <c r="O27" s="22" t="s">
        <v>959</v>
      </c>
      <c r="P27" s="144"/>
      <c r="Q27" s="29"/>
      <c r="R27" s="29"/>
    </row>
    <row r="28" spans="1:35" ht="51" customHeight="1">
      <c r="A28" s="354">
        <v>22</v>
      </c>
      <c r="B28" s="90" t="s">
        <v>144</v>
      </c>
      <c r="C28" s="150" t="s">
        <v>342</v>
      </c>
      <c r="D28" s="22" t="s">
        <v>40</v>
      </c>
      <c r="E28" s="90" t="s">
        <v>351</v>
      </c>
      <c r="F28" s="47">
        <v>491040</v>
      </c>
      <c r="G28" s="19" t="s">
        <v>23</v>
      </c>
      <c r="H28" s="19" t="s">
        <v>41</v>
      </c>
      <c r="I28" s="53">
        <v>1399</v>
      </c>
      <c r="J28" s="53" t="s">
        <v>25</v>
      </c>
      <c r="K28" s="48">
        <v>1</v>
      </c>
      <c r="L28" s="105" t="s">
        <v>1828</v>
      </c>
      <c r="M28" s="22" t="s">
        <v>33</v>
      </c>
      <c r="N28" s="157" t="s">
        <v>348</v>
      </c>
      <c r="O28" s="22" t="s">
        <v>959</v>
      </c>
      <c r="P28" s="825"/>
      <c r="Q28" s="29"/>
      <c r="R28" s="29"/>
    </row>
    <row r="29" spans="1:35" ht="36">
      <c r="A29" s="354">
        <v>23</v>
      </c>
      <c r="B29" s="90" t="s">
        <v>144</v>
      </c>
      <c r="C29" s="150" t="s">
        <v>342</v>
      </c>
      <c r="D29" s="22" t="s">
        <v>40</v>
      </c>
      <c r="E29" s="90" t="s">
        <v>222</v>
      </c>
      <c r="F29" s="47">
        <v>18225</v>
      </c>
      <c r="G29" s="19" t="s">
        <v>23</v>
      </c>
      <c r="H29" s="19" t="s">
        <v>41</v>
      </c>
      <c r="I29" s="53">
        <v>1399</v>
      </c>
      <c r="J29" s="53" t="s">
        <v>25</v>
      </c>
      <c r="K29" s="48">
        <v>1</v>
      </c>
      <c r="L29" s="105"/>
      <c r="M29" s="22" t="s">
        <v>33</v>
      </c>
      <c r="N29" s="27"/>
      <c r="O29" s="144"/>
      <c r="P29" s="825"/>
      <c r="Q29" s="29"/>
      <c r="R29" s="29"/>
    </row>
    <row r="30" spans="1:35" ht="36">
      <c r="A30" s="354">
        <v>24</v>
      </c>
      <c r="B30" s="90" t="s">
        <v>144</v>
      </c>
      <c r="C30" s="150" t="s">
        <v>342</v>
      </c>
      <c r="D30" s="22" t="s">
        <v>40</v>
      </c>
      <c r="E30" s="90" t="s">
        <v>124</v>
      </c>
      <c r="F30" s="47">
        <v>223200</v>
      </c>
      <c r="G30" s="19" t="s">
        <v>23</v>
      </c>
      <c r="H30" s="19" t="s">
        <v>41</v>
      </c>
      <c r="I30" s="53">
        <v>1399</v>
      </c>
      <c r="J30" s="53" t="s">
        <v>25</v>
      </c>
      <c r="K30" s="48">
        <v>1</v>
      </c>
      <c r="L30" s="105"/>
      <c r="M30" s="22" t="s">
        <v>33</v>
      </c>
      <c r="N30" s="27"/>
      <c r="O30" s="144"/>
      <c r="P30" s="825"/>
      <c r="Q30" s="29"/>
      <c r="R30" s="29"/>
      <c r="X30" s="806"/>
      <c r="Y30" s="806"/>
      <c r="Z30" s="806"/>
      <c r="AA30" s="806"/>
      <c r="AB30" s="806"/>
      <c r="AC30" s="806"/>
      <c r="AD30" s="806"/>
      <c r="AE30" s="806"/>
      <c r="AF30" s="806"/>
      <c r="AG30" s="806"/>
      <c r="AH30" s="806"/>
      <c r="AI30" s="806"/>
    </row>
    <row r="31" spans="1:35" ht="36">
      <c r="A31" s="354">
        <v>25</v>
      </c>
      <c r="B31" s="90" t="s">
        <v>144</v>
      </c>
      <c r="C31" s="150" t="s">
        <v>342</v>
      </c>
      <c r="D31" s="22" t="s">
        <v>40</v>
      </c>
      <c r="E31" s="90" t="s">
        <v>227</v>
      </c>
      <c r="F31" s="47">
        <v>392550</v>
      </c>
      <c r="G31" s="19" t="s">
        <v>23</v>
      </c>
      <c r="H31" s="19" t="s">
        <v>41</v>
      </c>
      <c r="I31" s="53">
        <v>1399</v>
      </c>
      <c r="J31" s="53" t="s">
        <v>25</v>
      </c>
      <c r="K31" s="48">
        <v>1</v>
      </c>
      <c r="L31" s="105"/>
      <c r="M31" s="22" t="s">
        <v>33</v>
      </c>
      <c r="N31" s="27"/>
      <c r="O31" s="144"/>
      <c r="P31" s="825"/>
      <c r="Q31" s="29"/>
      <c r="R31" s="29"/>
    </row>
    <row r="32" spans="1:35" ht="36">
      <c r="A32" s="354">
        <v>26</v>
      </c>
      <c r="B32" s="90" t="s">
        <v>144</v>
      </c>
      <c r="C32" s="150" t="s">
        <v>342</v>
      </c>
      <c r="D32" s="22" t="s">
        <v>40</v>
      </c>
      <c r="E32" s="90" t="s">
        <v>137</v>
      </c>
      <c r="F32" s="47">
        <v>151800</v>
      </c>
      <c r="G32" s="19" t="s">
        <v>23</v>
      </c>
      <c r="H32" s="19" t="s">
        <v>41</v>
      </c>
      <c r="I32" s="53">
        <v>1399</v>
      </c>
      <c r="J32" s="53" t="s">
        <v>25</v>
      </c>
      <c r="K32" s="48">
        <v>1</v>
      </c>
      <c r="L32" s="105"/>
      <c r="M32" s="22" t="s">
        <v>33</v>
      </c>
      <c r="N32" s="27"/>
      <c r="O32" s="144"/>
      <c r="P32" s="144"/>
      <c r="Q32" s="29"/>
      <c r="R32" s="29"/>
    </row>
    <row r="33" spans="1:18" ht="90">
      <c r="A33" s="354">
        <v>27</v>
      </c>
      <c r="B33" s="90" t="s">
        <v>144</v>
      </c>
      <c r="C33" s="150"/>
      <c r="D33" s="22" t="s">
        <v>40</v>
      </c>
      <c r="E33" s="90" t="s">
        <v>48</v>
      </c>
      <c r="F33" s="47">
        <v>85028</v>
      </c>
      <c r="G33" s="19" t="s">
        <v>23</v>
      </c>
      <c r="H33" s="19" t="s">
        <v>41</v>
      </c>
      <c r="I33" s="53">
        <v>1399</v>
      </c>
      <c r="J33" s="53" t="s">
        <v>25</v>
      </c>
      <c r="K33" s="48">
        <v>1</v>
      </c>
      <c r="L33" s="105" t="s">
        <v>1828</v>
      </c>
      <c r="M33" s="22" t="s">
        <v>33</v>
      </c>
      <c r="N33" s="157" t="s">
        <v>348</v>
      </c>
      <c r="O33" s="22" t="s">
        <v>959</v>
      </c>
      <c r="P33" s="825"/>
      <c r="Q33" s="29"/>
      <c r="R33" s="29"/>
    </row>
    <row r="34" spans="1:18" ht="36">
      <c r="A34" s="354">
        <v>28</v>
      </c>
      <c r="B34" s="90" t="s">
        <v>144</v>
      </c>
      <c r="C34" s="150" t="s">
        <v>342</v>
      </c>
      <c r="D34" s="22" t="s">
        <v>40</v>
      </c>
      <c r="E34" s="22" t="s">
        <v>152</v>
      </c>
      <c r="F34" s="47">
        <v>52050</v>
      </c>
      <c r="G34" s="19" t="s">
        <v>23</v>
      </c>
      <c r="H34" s="19" t="s">
        <v>41</v>
      </c>
      <c r="I34" s="53">
        <v>1399</v>
      </c>
      <c r="J34" s="53" t="s">
        <v>25</v>
      </c>
      <c r="K34" s="48">
        <v>1</v>
      </c>
      <c r="L34" s="105"/>
      <c r="M34" s="22" t="s">
        <v>33</v>
      </c>
      <c r="N34" s="27"/>
      <c r="O34" s="144"/>
      <c r="P34" s="825"/>
      <c r="Q34" s="29"/>
      <c r="R34" s="29"/>
    </row>
    <row r="35" spans="1:18" ht="36">
      <c r="A35" s="354">
        <v>29</v>
      </c>
      <c r="B35" s="90" t="s">
        <v>144</v>
      </c>
      <c r="C35" s="150" t="s">
        <v>342</v>
      </c>
      <c r="D35" s="22" t="s">
        <v>40</v>
      </c>
      <c r="E35" s="22" t="s">
        <v>153</v>
      </c>
      <c r="F35" s="47">
        <v>72900</v>
      </c>
      <c r="G35" s="19" t="s">
        <v>23</v>
      </c>
      <c r="H35" s="19" t="s">
        <v>41</v>
      </c>
      <c r="I35" s="53">
        <v>1399</v>
      </c>
      <c r="J35" s="53" t="s">
        <v>25</v>
      </c>
      <c r="K35" s="48">
        <v>1</v>
      </c>
      <c r="L35" s="105"/>
      <c r="M35" s="22" t="s">
        <v>33</v>
      </c>
      <c r="N35" s="22"/>
      <c r="O35" s="144"/>
      <c r="P35" s="825"/>
      <c r="Q35" s="29"/>
      <c r="R35" s="29"/>
    </row>
    <row r="36" spans="1:18" ht="36">
      <c r="A36" s="354">
        <v>30</v>
      </c>
      <c r="B36" s="90" t="s">
        <v>144</v>
      </c>
      <c r="C36" s="150" t="s">
        <v>342</v>
      </c>
      <c r="D36" s="22" t="s">
        <v>40</v>
      </c>
      <c r="E36" s="22" t="s">
        <v>154</v>
      </c>
      <c r="F36" s="47">
        <v>45550</v>
      </c>
      <c r="G36" s="19" t="s">
        <v>23</v>
      </c>
      <c r="H36" s="19" t="s">
        <v>41</v>
      </c>
      <c r="I36" s="53">
        <v>1399</v>
      </c>
      <c r="J36" s="53" t="s">
        <v>25</v>
      </c>
      <c r="K36" s="48">
        <v>1</v>
      </c>
      <c r="L36" s="105"/>
      <c r="M36" s="22" t="s">
        <v>33</v>
      </c>
      <c r="N36" s="22"/>
      <c r="O36" s="144"/>
      <c r="P36" s="825"/>
      <c r="Q36" s="29"/>
      <c r="R36" s="29"/>
    </row>
    <row r="37" spans="1:18" ht="36">
      <c r="A37" s="354">
        <v>31</v>
      </c>
      <c r="B37" s="90" t="s">
        <v>144</v>
      </c>
      <c r="C37" s="150" t="s">
        <v>342</v>
      </c>
      <c r="D37" s="22" t="s">
        <v>40</v>
      </c>
      <c r="E37" s="90" t="s">
        <v>352</v>
      </c>
      <c r="F37" s="47">
        <v>343400</v>
      </c>
      <c r="G37" s="19" t="s">
        <v>23</v>
      </c>
      <c r="H37" s="19" t="s">
        <v>41</v>
      </c>
      <c r="I37" s="53">
        <v>1399</v>
      </c>
      <c r="J37" s="53" t="s">
        <v>25</v>
      </c>
      <c r="K37" s="48">
        <v>1</v>
      </c>
      <c r="L37" s="105"/>
      <c r="M37" s="22" t="s">
        <v>33</v>
      </c>
      <c r="N37" s="22" t="s">
        <v>17</v>
      </c>
      <c r="O37" s="144"/>
      <c r="P37" s="825"/>
      <c r="Q37" s="29"/>
      <c r="R37" s="29"/>
    </row>
    <row r="38" spans="1:18" ht="36">
      <c r="A38" s="354">
        <v>32</v>
      </c>
      <c r="B38" s="90" t="s">
        <v>144</v>
      </c>
      <c r="C38" s="150" t="s">
        <v>353</v>
      </c>
      <c r="D38" s="22" t="s">
        <v>40</v>
      </c>
      <c r="E38" s="90" t="s">
        <v>354</v>
      </c>
      <c r="F38" s="47">
        <v>189000</v>
      </c>
      <c r="G38" s="19" t="s">
        <v>23</v>
      </c>
      <c r="H38" s="19" t="s">
        <v>41</v>
      </c>
      <c r="I38" s="53">
        <v>1399</v>
      </c>
      <c r="J38" s="53" t="s">
        <v>25</v>
      </c>
      <c r="K38" s="48">
        <v>1</v>
      </c>
      <c r="L38" s="105"/>
      <c r="M38" s="22" t="s">
        <v>33</v>
      </c>
      <c r="N38" s="22"/>
      <c r="O38" s="144"/>
      <c r="P38" s="825"/>
      <c r="Q38" s="29"/>
      <c r="R38" s="29"/>
    </row>
    <row r="39" spans="1:18" ht="90">
      <c r="A39" s="354">
        <v>33</v>
      </c>
      <c r="B39" s="90" t="s">
        <v>144</v>
      </c>
      <c r="C39" s="90"/>
      <c r="D39" s="22" t="s">
        <v>40</v>
      </c>
      <c r="E39" s="90" t="s">
        <v>94</v>
      </c>
      <c r="F39" s="177">
        <v>189000</v>
      </c>
      <c r="G39" s="19" t="s">
        <v>23</v>
      </c>
      <c r="H39" s="19" t="s">
        <v>41</v>
      </c>
      <c r="I39" s="53">
        <v>1399</v>
      </c>
      <c r="J39" s="53" t="s">
        <v>25</v>
      </c>
      <c r="K39" s="48">
        <v>1</v>
      </c>
      <c r="L39" s="105" t="s">
        <v>1828</v>
      </c>
      <c r="M39" s="22" t="s">
        <v>33</v>
      </c>
      <c r="N39" s="157" t="s">
        <v>348</v>
      </c>
      <c r="O39" s="22" t="s">
        <v>959</v>
      </c>
      <c r="P39" s="825"/>
      <c r="Q39" s="29"/>
      <c r="R39" s="29"/>
    </row>
    <row r="40" spans="1:18" ht="90">
      <c r="A40" s="354">
        <v>34</v>
      </c>
      <c r="B40" s="90" t="s">
        <v>144</v>
      </c>
      <c r="C40" s="90"/>
      <c r="D40" s="22" t="s">
        <v>40</v>
      </c>
      <c r="E40" s="90" t="s">
        <v>228</v>
      </c>
      <c r="F40" s="177">
        <v>91140</v>
      </c>
      <c r="G40" s="19" t="s">
        <v>23</v>
      </c>
      <c r="H40" s="19" t="s">
        <v>41</v>
      </c>
      <c r="I40" s="53">
        <v>1399</v>
      </c>
      <c r="J40" s="53" t="s">
        <v>25</v>
      </c>
      <c r="K40" s="48">
        <v>1</v>
      </c>
      <c r="L40" s="105" t="s">
        <v>1828</v>
      </c>
      <c r="M40" s="22" t="s">
        <v>33</v>
      </c>
      <c r="N40" s="157" t="s">
        <v>348</v>
      </c>
      <c r="O40" s="22" t="s">
        <v>959</v>
      </c>
      <c r="P40" s="825"/>
      <c r="Q40" s="29"/>
      <c r="R40" s="29"/>
    </row>
    <row r="41" spans="1:18" ht="90">
      <c r="A41" s="354">
        <v>35</v>
      </c>
      <c r="B41" s="90" t="s">
        <v>144</v>
      </c>
      <c r="C41" s="90"/>
      <c r="D41" s="22" t="s">
        <v>40</v>
      </c>
      <c r="E41" s="90" t="s">
        <v>355</v>
      </c>
      <c r="F41" s="177">
        <v>1860000</v>
      </c>
      <c r="G41" s="19" t="s">
        <v>23</v>
      </c>
      <c r="H41" s="19" t="s">
        <v>41</v>
      </c>
      <c r="I41" s="53">
        <v>1399</v>
      </c>
      <c r="J41" s="53" t="s">
        <v>25</v>
      </c>
      <c r="K41" s="48">
        <v>1</v>
      </c>
      <c r="L41" s="105" t="s">
        <v>1828</v>
      </c>
      <c r="M41" s="22" t="s">
        <v>33</v>
      </c>
      <c r="N41" s="157" t="s">
        <v>348</v>
      </c>
      <c r="O41" s="22" t="s">
        <v>959</v>
      </c>
      <c r="P41" s="825"/>
      <c r="Q41" s="29"/>
      <c r="R41" s="29"/>
    </row>
    <row r="42" spans="1:18" ht="90">
      <c r="A42" s="354">
        <v>36</v>
      </c>
      <c r="B42" s="90" t="s">
        <v>144</v>
      </c>
      <c r="C42" s="90"/>
      <c r="D42" s="22" t="s">
        <v>40</v>
      </c>
      <c r="E42" s="90" t="s">
        <v>51</v>
      </c>
      <c r="F42" s="177">
        <v>52080</v>
      </c>
      <c r="G42" s="19" t="s">
        <v>23</v>
      </c>
      <c r="H42" s="19" t="s">
        <v>41</v>
      </c>
      <c r="I42" s="53">
        <v>1399</v>
      </c>
      <c r="J42" s="53" t="s">
        <v>25</v>
      </c>
      <c r="K42" s="48">
        <v>1</v>
      </c>
      <c r="L42" s="105" t="s">
        <v>1828</v>
      </c>
      <c r="M42" s="22" t="s">
        <v>33</v>
      </c>
      <c r="N42" s="157" t="s">
        <v>348</v>
      </c>
      <c r="O42" s="22" t="s">
        <v>959</v>
      </c>
      <c r="P42" s="825"/>
      <c r="Q42" s="29"/>
      <c r="R42" s="29"/>
    </row>
    <row r="43" spans="1:18" ht="90">
      <c r="A43" s="354">
        <v>37</v>
      </c>
      <c r="B43" s="90" t="s">
        <v>144</v>
      </c>
      <c r="C43" s="90"/>
      <c r="D43" s="22" t="s">
        <v>40</v>
      </c>
      <c r="E43" s="90" t="s">
        <v>356</v>
      </c>
      <c r="F43" s="177">
        <v>1093680</v>
      </c>
      <c r="G43" s="19" t="s">
        <v>23</v>
      </c>
      <c r="H43" s="19" t="s">
        <v>41</v>
      </c>
      <c r="I43" s="53">
        <v>1399</v>
      </c>
      <c r="J43" s="53" t="s">
        <v>25</v>
      </c>
      <c r="K43" s="48">
        <v>1</v>
      </c>
      <c r="L43" s="105" t="s">
        <v>1828</v>
      </c>
      <c r="M43" s="22" t="s">
        <v>33</v>
      </c>
      <c r="N43" s="157" t="s">
        <v>348</v>
      </c>
      <c r="O43" s="22" t="s">
        <v>959</v>
      </c>
      <c r="P43" s="825"/>
      <c r="Q43" s="29"/>
      <c r="R43" s="29"/>
    </row>
    <row r="44" spans="1:18" ht="90">
      <c r="A44" s="354">
        <v>38</v>
      </c>
      <c r="B44" s="90" t="s">
        <v>144</v>
      </c>
      <c r="C44" s="90"/>
      <c r="D44" s="22" t="s">
        <v>40</v>
      </c>
      <c r="E44" s="90" t="s">
        <v>357</v>
      </c>
      <c r="F44" s="177">
        <v>156240</v>
      </c>
      <c r="G44" s="19" t="s">
        <v>23</v>
      </c>
      <c r="H44" s="19" t="s">
        <v>41</v>
      </c>
      <c r="I44" s="53">
        <v>1399</v>
      </c>
      <c r="J44" s="53" t="s">
        <v>25</v>
      </c>
      <c r="K44" s="48">
        <v>1</v>
      </c>
      <c r="L44" s="105" t="s">
        <v>1828</v>
      </c>
      <c r="M44" s="22" t="s">
        <v>33</v>
      </c>
      <c r="N44" s="157" t="s">
        <v>348</v>
      </c>
      <c r="O44" s="22" t="s">
        <v>959</v>
      </c>
      <c r="P44" s="144"/>
      <c r="Q44" s="29"/>
      <c r="R44" s="29"/>
    </row>
    <row r="45" spans="1:18" ht="90">
      <c r="A45" s="354">
        <v>39</v>
      </c>
      <c r="B45" s="90" t="s">
        <v>144</v>
      </c>
      <c r="C45" s="90"/>
      <c r="D45" s="22" t="s">
        <v>40</v>
      </c>
      <c r="E45" s="90" t="s">
        <v>127</v>
      </c>
      <c r="F45" s="177">
        <v>528000</v>
      </c>
      <c r="G45" s="19" t="s">
        <v>23</v>
      </c>
      <c r="H45" s="19" t="s">
        <v>41</v>
      </c>
      <c r="I45" s="53">
        <v>1399</v>
      </c>
      <c r="J45" s="53" t="s">
        <v>25</v>
      </c>
      <c r="K45" s="48">
        <v>1</v>
      </c>
      <c r="L45" s="105" t="s">
        <v>1828</v>
      </c>
      <c r="M45" s="22" t="s">
        <v>33</v>
      </c>
      <c r="N45" s="157" t="s">
        <v>348</v>
      </c>
      <c r="O45" s="22" t="s">
        <v>959</v>
      </c>
      <c r="P45" s="825"/>
      <c r="Q45" s="29"/>
      <c r="R45" s="29"/>
    </row>
    <row r="46" spans="1:18" ht="85.15" customHeight="1">
      <c r="A46" s="354">
        <v>40</v>
      </c>
      <c r="B46" s="90" t="s">
        <v>144</v>
      </c>
      <c r="C46" s="90"/>
      <c r="D46" s="22" t="s">
        <v>40</v>
      </c>
      <c r="E46" s="158" t="s">
        <v>128</v>
      </c>
      <c r="F46" s="177">
        <v>480000</v>
      </c>
      <c r="G46" s="19" t="s">
        <v>23</v>
      </c>
      <c r="H46" s="19" t="s">
        <v>41</v>
      </c>
      <c r="I46" s="53">
        <v>1399</v>
      </c>
      <c r="J46" s="53" t="s">
        <v>25</v>
      </c>
      <c r="K46" s="48">
        <v>1</v>
      </c>
      <c r="L46" s="105" t="s">
        <v>1828</v>
      </c>
      <c r="M46" s="22" t="s">
        <v>33</v>
      </c>
      <c r="N46" s="157" t="s">
        <v>348</v>
      </c>
      <c r="O46" s="22" t="s">
        <v>959</v>
      </c>
      <c r="P46" s="825"/>
      <c r="Q46" s="29"/>
      <c r="R46" s="29"/>
    </row>
    <row r="47" spans="1:18" ht="90">
      <c r="A47" s="354">
        <v>41</v>
      </c>
      <c r="B47" s="90" t="s">
        <v>144</v>
      </c>
      <c r="C47" s="90"/>
      <c r="D47" s="22" t="s">
        <v>40</v>
      </c>
      <c r="E47" s="90" t="s">
        <v>358</v>
      </c>
      <c r="F47" s="177">
        <v>936000</v>
      </c>
      <c r="G47" s="19" t="s">
        <v>23</v>
      </c>
      <c r="H47" s="19" t="s">
        <v>41</v>
      </c>
      <c r="I47" s="53">
        <v>1399</v>
      </c>
      <c r="J47" s="53" t="s">
        <v>25</v>
      </c>
      <c r="K47" s="48">
        <v>1</v>
      </c>
      <c r="L47" s="105" t="s">
        <v>1828</v>
      </c>
      <c r="M47" s="22" t="s">
        <v>33</v>
      </c>
      <c r="N47" s="157" t="s">
        <v>348</v>
      </c>
      <c r="O47" s="22" t="s">
        <v>959</v>
      </c>
      <c r="P47" s="825"/>
      <c r="Q47" s="29"/>
      <c r="R47" s="29"/>
    </row>
    <row r="48" spans="1:18" ht="49.9" hidden="1" customHeight="1">
      <c r="A48" s="354">
        <v>42</v>
      </c>
      <c r="B48" s="90" t="s">
        <v>144</v>
      </c>
      <c r="C48" s="90"/>
      <c r="D48" s="90" t="s">
        <v>111</v>
      </c>
      <c r="E48" s="90" t="s">
        <v>359</v>
      </c>
      <c r="F48" s="47">
        <v>290000</v>
      </c>
      <c r="G48" s="19" t="s">
        <v>23</v>
      </c>
      <c r="H48" s="19" t="s">
        <v>77</v>
      </c>
      <c r="I48" s="53">
        <v>1399</v>
      </c>
      <c r="J48" s="53" t="s">
        <v>25</v>
      </c>
      <c r="K48" s="48">
        <v>0.8</v>
      </c>
      <c r="L48" s="19"/>
      <c r="M48" s="22" t="s">
        <v>33</v>
      </c>
      <c r="N48" s="22"/>
      <c r="O48" s="22"/>
      <c r="P48" s="46"/>
      <c r="Q48" s="29"/>
      <c r="R48" s="29"/>
    </row>
    <row r="49" spans="1:18" ht="48" hidden="1" customHeight="1">
      <c r="A49" s="354">
        <v>43</v>
      </c>
      <c r="B49" s="90" t="s">
        <v>144</v>
      </c>
      <c r="C49" s="90"/>
      <c r="D49" s="90" t="s">
        <v>111</v>
      </c>
      <c r="E49" s="90" t="s">
        <v>214</v>
      </c>
      <c r="F49" s="47">
        <v>160000</v>
      </c>
      <c r="G49" s="19" t="s">
        <v>23</v>
      </c>
      <c r="H49" s="19" t="s">
        <v>77</v>
      </c>
      <c r="I49" s="53">
        <v>1399</v>
      </c>
      <c r="J49" s="53" t="s">
        <v>25</v>
      </c>
      <c r="K49" s="48">
        <v>0.6</v>
      </c>
      <c r="L49" s="19"/>
      <c r="M49" s="22" t="s">
        <v>33</v>
      </c>
      <c r="N49" s="22"/>
      <c r="O49" s="22"/>
      <c r="P49" s="46"/>
      <c r="Q49" s="29"/>
      <c r="R49" s="29"/>
    </row>
    <row r="50" spans="1:18" ht="61.5" hidden="1" customHeight="1">
      <c r="A50" s="354">
        <v>44</v>
      </c>
      <c r="B50" s="90" t="s">
        <v>144</v>
      </c>
      <c r="C50" s="22"/>
      <c r="D50" s="22" t="s">
        <v>73</v>
      </c>
      <c r="E50" s="40" t="s">
        <v>97</v>
      </c>
      <c r="F50" s="47">
        <v>1282840</v>
      </c>
      <c r="G50" s="19" t="s">
        <v>23</v>
      </c>
      <c r="H50" s="19" t="s">
        <v>77</v>
      </c>
      <c r="I50" s="53">
        <v>1399</v>
      </c>
      <c r="J50" s="53" t="s">
        <v>25</v>
      </c>
      <c r="K50" s="48"/>
      <c r="L50" s="19" t="s">
        <v>72</v>
      </c>
      <c r="M50" s="22" t="s">
        <v>33</v>
      </c>
      <c r="N50" s="22" t="s">
        <v>360</v>
      </c>
      <c r="O50" s="22" t="s">
        <v>334</v>
      </c>
      <c r="P50" s="19"/>
    </row>
    <row r="51" spans="1:18" ht="82.5" customHeight="1">
      <c r="A51" s="354">
        <v>45</v>
      </c>
      <c r="B51" s="90" t="s">
        <v>75</v>
      </c>
      <c r="C51" s="40" t="s">
        <v>361</v>
      </c>
      <c r="D51" s="40" t="s">
        <v>76</v>
      </c>
      <c r="E51" s="40" t="s">
        <v>362</v>
      </c>
      <c r="F51" s="35">
        <v>202797754</v>
      </c>
      <c r="G51" s="19" t="s">
        <v>23</v>
      </c>
      <c r="H51" s="22" t="s">
        <v>77</v>
      </c>
      <c r="I51" s="19">
        <v>1399</v>
      </c>
      <c r="J51" s="22" t="s">
        <v>25</v>
      </c>
      <c r="K51" s="60">
        <v>0.99</v>
      </c>
      <c r="L51" s="33"/>
      <c r="M51" s="22" t="s">
        <v>1851</v>
      </c>
      <c r="N51" s="22"/>
      <c r="O51" s="22"/>
      <c r="P51" s="33" t="s">
        <v>1850</v>
      </c>
    </row>
    <row r="52" spans="1:18" s="461" customFormat="1" ht="49.9" customHeight="1">
      <c r="A52" s="354">
        <v>46</v>
      </c>
      <c r="B52" s="90" t="s">
        <v>144</v>
      </c>
      <c r="C52" s="90" t="s">
        <v>330</v>
      </c>
      <c r="D52" s="90" t="s">
        <v>111</v>
      </c>
      <c r="E52" s="90" t="s">
        <v>359</v>
      </c>
      <c r="F52" s="47">
        <v>290000</v>
      </c>
      <c r="G52" s="467" t="s">
        <v>23</v>
      </c>
      <c r="H52" s="467" t="s">
        <v>77</v>
      </c>
      <c r="I52" s="53">
        <v>1399</v>
      </c>
      <c r="J52" s="53" t="s">
        <v>25</v>
      </c>
      <c r="K52" s="219">
        <v>1</v>
      </c>
      <c r="L52" s="82"/>
      <c r="M52" s="22" t="s">
        <v>33</v>
      </c>
      <c r="N52" s="22"/>
      <c r="O52" s="22"/>
      <c r="P52" s="46"/>
      <c r="Q52" s="29"/>
      <c r="R52" s="29"/>
    </row>
    <row r="53" spans="1:18" s="461" customFormat="1" ht="48" customHeight="1">
      <c r="A53" s="354">
        <v>47</v>
      </c>
      <c r="B53" s="90" t="s">
        <v>144</v>
      </c>
      <c r="C53" s="548" t="s">
        <v>1468</v>
      </c>
      <c r="D53" s="90" t="s">
        <v>111</v>
      </c>
      <c r="E53" s="90" t="s">
        <v>214</v>
      </c>
      <c r="F53" s="47">
        <v>160000</v>
      </c>
      <c r="G53" s="467" t="s">
        <v>23</v>
      </c>
      <c r="H53" s="467" t="s">
        <v>77</v>
      </c>
      <c r="I53" s="53">
        <v>1399</v>
      </c>
      <c r="J53" s="53" t="s">
        <v>25</v>
      </c>
      <c r="K53" s="48">
        <v>1</v>
      </c>
      <c r="L53" s="467"/>
      <c r="M53" s="22" t="s">
        <v>33</v>
      </c>
      <c r="N53" s="22"/>
      <c r="O53" s="22"/>
      <c r="P53" s="46"/>
      <c r="Q53" s="29"/>
      <c r="R53" s="29"/>
    </row>
    <row r="54" spans="1:18" s="559" customFormat="1" ht="61.5" customHeight="1">
      <c r="A54" s="354">
        <v>48</v>
      </c>
      <c r="B54" s="6" t="s">
        <v>144</v>
      </c>
      <c r="C54" s="196"/>
      <c r="D54" s="196" t="s">
        <v>73</v>
      </c>
      <c r="E54" s="237" t="s">
        <v>97</v>
      </c>
      <c r="F54" s="47">
        <v>1282840</v>
      </c>
      <c r="G54" s="561" t="s">
        <v>23</v>
      </c>
      <c r="H54" s="561" t="s">
        <v>77</v>
      </c>
      <c r="I54" s="53">
        <v>1399</v>
      </c>
      <c r="J54" s="53" t="s">
        <v>25</v>
      </c>
      <c r="K54" s="48"/>
      <c r="L54" s="561" t="s">
        <v>72</v>
      </c>
      <c r="M54" s="223"/>
      <c r="N54" s="623" t="s">
        <v>581</v>
      </c>
      <c r="O54" s="236" t="s">
        <v>1833</v>
      </c>
      <c r="P54" s="560"/>
    </row>
  </sheetData>
  <mergeCells count="25">
    <mergeCell ref="P39:P41"/>
    <mergeCell ref="P42:P43"/>
    <mergeCell ref="P45:P47"/>
    <mergeCell ref="P24:P25"/>
    <mergeCell ref="P28:P29"/>
    <mergeCell ref="P30:P31"/>
    <mergeCell ref="X30:AI30"/>
    <mergeCell ref="P33:P35"/>
    <mergeCell ref="P36:P38"/>
    <mergeCell ref="L5:M5"/>
    <mergeCell ref="N5:N6"/>
    <mergeCell ref="O5:O6"/>
    <mergeCell ref="P5:P6"/>
    <mergeCell ref="P19:P21"/>
    <mergeCell ref="P22:P23"/>
    <mergeCell ref="A1:P4"/>
    <mergeCell ref="A5:A6"/>
    <mergeCell ref="B5:B6"/>
    <mergeCell ref="C5:C6"/>
    <mergeCell ref="D5:D6"/>
    <mergeCell ref="E5:E6"/>
    <mergeCell ref="F5:H5"/>
    <mergeCell ref="I5:I6"/>
    <mergeCell ref="J5:J6"/>
    <mergeCell ref="K5:K6"/>
  </mergeCells>
  <printOptions horizontalCentered="1"/>
  <pageMargins left="0.2" right="0.2" top="0.5" bottom="0.5" header="0.3" footer="0.3"/>
  <pageSetup paperSize="9" scale="59" orientation="landscape" r:id="rId1"/>
  <headerFooter>
    <oddFooter>&amp;C&amp;P</oddFooter>
  </headerFooter>
</worksheet>
</file>

<file path=xl/worksheets/sheet35.xml><?xml version="1.0" encoding="utf-8"?>
<worksheet xmlns="http://schemas.openxmlformats.org/spreadsheetml/2006/main" xmlns:r="http://schemas.openxmlformats.org/officeDocument/2006/relationships">
  <dimension ref="A1"/>
  <sheetViews>
    <sheetView workbookViewId="0">
      <selection activeCell="I12" sqref="I12"/>
    </sheetView>
  </sheetViews>
  <sheetFormatPr defaultRowHeight="15"/>
  <sheetData>
    <row r="1" spans="1:1">
      <c r="A1"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92D050"/>
  </sheetPr>
  <dimension ref="A1:P89"/>
  <sheetViews>
    <sheetView rightToLeft="1" view="pageBreakPreview" zoomScaleSheetLayoutView="100" workbookViewId="0">
      <pane ySplit="19" topLeftCell="A86" activePane="bottomLeft" state="frozen"/>
      <selection pane="bottomLeft" activeCell="M89" sqref="M89"/>
    </sheetView>
  </sheetViews>
  <sheetFormatPr defaultColWidth="9.140625" defaultRowHeight="15"/>
  <cols>
    <col min="1" max="3" width="9.140625" style="399"/>
    <col min="4" max="4" width="13.7109375" style="399" customWidth="1"/>
    <col min="5" max="5" width="26.28515625" style="399" customWidth="1"/>
    <col min="6" max="6" width="15.28515625" style="399" customWidth="1"/>
    <col min="7" max="12" width="9.140625" style="399"/>
    <col min="13" max="13" width="10.140625" style="399" customWidth="1"/>
    <col min="14" max="14" width="19.5703125" style="399" customWidth="1"/>
    <col min="15" max="15" width="15.5703125" style="399" customWidth="1"/>
    <col min="16" max="16" width="12.85546875" style="399" customWidth="1"/>
    <col min="17" max="16384" width="9.140625" style="399"/>
  </cols>
  <sheetData>
    <row r="1" spans="1:16">
      <c r="A1" s="814" t="s">
        <v>1880</v>
      </c>
      <c r="B1" s="815"/>
      <c r="C1" s="815"/>
      <c r="D1" s="815"/>
      <c r="E1" s="815"/>
      <c r="F1" s="815"/>
      <c r="G1" s="815"/>
      <c r="H1" s="815"/>
      <c r="I1" s="815"/>
      <c r="J1" s="815"/>
      <c r="K1" s="815"/>
      <c r="L1" s="815"/>
      <c r="M1" s="815"/>
      <c r="N1" s="815"/>
      <c r="O1" s="815"/>
      <c r="P1" s="815"/>
    </row>
    <row r="2" spans="1:16">
      <c r="A2" s="815"/>
      <c r="B2" s="815"/>
      <c r="C2" s="815"/>
      <c r="D2" s="815"/>
      <c r="E2" s="815"/>
      <c r="F2" s="815"/>
      <c r="G2" s="815"/>
      <c r="H2" s="815"/>
      <c r="I2" s="815"/>
      <c r="J2" s="815"/>
      <c r="K2" s="815"/>
      <c r="L2" s="815"/>
      <c r="M2" s="815"/>
      <c r="N2" s="815"/>
      <c r="O2" s="815"/>
      <c r="P2" s="815"/>
    </row>
    <row r="3" spans="1:16">
      <c r="A3" s="815"/>
      <c r="B3" s="815"/>
      <c r="C3" s="815"/>
      <c r="D3" s="815"/>
      <c r="E3" s="815"/>
      <c r="F3" s="815"/>
      <c r="G3" s="815"/>
      <c r="H3" s="815"/>
      <c r="I3" s="815"/>
      <c r="J3" s="815"/>
      <c r="K3" s="815"/>
      <c r="L3" s="815"/>
      <c r="M3" s="815"/>
      <c r="N3" s="815"/>
      <c r="O3" s="815"/>
      <c r="P3" s="815"/>
    </row>
    <row r="4" spans="1:16" ht="23.45" customHeight="1">
      <c r="A4" s="815"/>
      <c r="B4" s="815"/>
      <c r="C4" s="815"/>
      <c r="D4" s="815"/>
      <c r="E4" s="815"/>
      <c r="F4" s="815"/>
      <c r="G4" s="815"/>
      <c r="H4" s="815"/>
      <c r="I4" s="815"/>
      <c r="J4" s="815"/>
      <c r="K4" s="815"/>
      <c r="L4" s="815"/>
      <c r="M4" s="815"/>
      <c r="N4" s="815"/>
      <c r="O4" s="815"/>
      <c r="P4" s="815"/>
    </row>
    <row r="5" spans="1:16" ht="20.45"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791" t="s">
        <v>8</v>
      </c>
    </row>
    <row r="6" spans="1:16" ht="49.5" customHeight="1">
      <c r="A6" s="791"/>
      <c r="B6" s="791"/>
      <c r="C6" s="791"/>
      <c r="D6" s="791"/>
      <c r="E6" s="791"/>
      <c r="F6" s="403" t="s">
        <v>10</v>
      </c>
      <c r="G6" s="403" t="s">
        <v>11</v>
      </c>
      <c r="H6" s="403" t="s">
        <v>12</v>
      </c>
      <c r="I6" s="791"/>
      <c r="J6" s="791"/>
      <c r="K6" s="791"/>
      <c r="L6" s="403" t="s">
        <v>3</v>
      </c>
      <c r="M6" s="403" t="s">
        <v>4</v>
      </c>
      <c r="N6" s="791"/>
      <c r="O6" s="791"/>
      <c r="P6" s="791"/>
    </row>
    <row r="7" spans="1:16" ht="54" hidden="1">
      <c r="A7" s="408">
        <v>1</v>
      </c>
      <c r="B7" s="169" t="s">
        <v>745</v>
      </c>
      <c r="C7" s="169" t="s">
        <v>786</v>
      </c>
      <c r="D7" s="404" t="s">
        <v>779</v>
      </c>
      <c r="E7" s="405" t="s">
        <v>785</v>
      </c>
      <c r="F7" s="184">
        <v>17165854</v>
      </c>
      <c r="G7" s="408" t="s">
        <v>23</v>
      </c>
      <c r="H7" s="408" t="s">
        <v>77</v>
      </c>
      <c r="I7" s="408">
        <v>1399</v>
      </c>
      <c r="J7" s="21" t="s">
        <v>25</v>
      </c>
      <c r="K7" s="275">
        <v>0.5</v>
      </c>
      <c r="L7" s="404"/>
      <c r="M7" s="404" t="s">
        <v>39</v>
      </c>
      <c r="N7" s="404"/>
      <c r="O7" s="404"/>
      <c r="P7" s="408"/>
    </row>
    <row r="8" spans="1:16" ht="54" hidden="1">
      <c r="A8" s="408">
        <v>2</v>
      </c>
      <c r="B8" s="169" t="s">
        <v>745</v>
      </c>
      <c r="C8" s="169" t="s">
        <v>784</v>
      </c>
      <c r="D8" s="404" t="s">
        <v>779</v>
      </c>
      <c r="E8" s="405" t="s">
        <v>783</v>
      </c>
      <c r="F8" s="184">
        <v>24023998</v>
      </c>
      <c r="G8" s="408" t="s">
        <v>23</v>
      </c>
      <c r="H8" s="408" t="s">
        <v>77</v>
      </c>
      <c r="I8" s="408">
        <v>1399</v>
      </c>
      <c r="J8" s="21" t="s">
        <v>25</v>
      </c>
      <c r="K8" s="275">
        <v>0.5</v>
      </c>
      <c r="L8" s="404"/>
      <c r="M8" s="404" t="s">
        <v>39</v>
      </c>
      <c r="N8" s="404"/>
      <c r="O8" s="404"/>
      <c r="P8" s="408"/>
    </row>
    <row r="9" spans="1:16" ht="54" hidden="1">
      <c r="A9" s="408">
        <v>3</v>
      </c>
      <c r="B9" s="169" t="s">
        <v>745</v>
      </c>
      <c r="C9" s="169" t="s">
        <v>782</v>
      </c>
      <c r="D9" s="404" t="s">
        <v>779</v>
      </c>
      <c r="E9" s="405" t="s">
        <v>781</v>
      </c>
      <c r="F9" s="184">
        <v>24791462</v>
      </c>
      <c r="G9" s="408" t="s">
        <v>23</v>
      </c>
      <c r="H9" s="408" t="s">
        <v>77</v>
      </c>
      <c r="I9" s="408">
        <v>1399</v>
      </c>
      <c r="J9" s="21" t="s">
        <v>25</v>
      </c>
      <c r="K9" s="275">
        <v>0.5</v>
      </c>
      <c r="L9" s="404"/>
      <c r="M9" s="404" t="s">
        <v>39</v>
      </c>
      <c r="N9" s="404"/>
      <c r="O9" s="404"/>
      <c r="P9" s="408"/>
    </row>
    <row r="10" spans="1:16" ht="54" hidden="1">
      <c r="A10" s="408">
        <v>4</v>
      </c>
      <c r="B10" s="169" t="s">
        <v>745</v>
      </c>
      <c r="C10" s="169" t="s">
        <v>780</v>
      </c>
      <c r="D10" s="404" t="s">
        <v>779</v>
      </c>
      <c r="E10" s="405" t="s">
        <v>778</v>
      </c>
      <c r="F10" s="184">
        <v>26800416</v>
      </c>
      <c r="G10" s="408" t="s">
        <v>23</v>
      </c>
      <c r="H10" s="408" t="s">
        <v>77</v>
      </c>
      <c r="I10" s="408">
        <v>1399</v>
      </c>
      <c r="J10" s="21" t="s">
        <v>25</v>
      </c>
      <c r="K10" s="275">
        <v>0.5</v>
      </c>
      <c r="L10" s="404"/>
      <c r="M10" s="404" t="s">
        <v>39</v>
      </c>
      <c r="N10" s="404"/>
      <c r="O10" s="404"/>
      <c r="P10" s="408"/>
    </row>
    <row r="11" spans="1:16" ht="72" hidden="1">
      <c r="A11" s="408">
        <v>5</v>
      </c>
      <c r="B11" s="169" t="s">
        <v>745</v>
      </c>
      <c r="C11" s="169"/>
      <c r="D11" s="404" t="s">
        <v>320</v>
      </c>
      <c r="E11" s="293" t="s">
        <v>777</v>
      </c>
      <c r="F11" s="816">
        <v>2125000</v>
      </c>
      <c r="G11" s="408" t="s">
        <v>23</v>
      </c>
      <c r="H11" s="408" t="s">
        <v>77</v>
      </c>
      <c r="I11" s="408">
        <v>1399</v>
      </c>
      <c r="J11" s="21" t="s">
        <v>25</v>
      </c>
      <c r="K11" s="275">
        <v>0.75</v>
      </c>
      <c r="L11" s="169"/>
      <c r="M11" s="404" t="s">
        <v>39</v>
      </c>
      <c r="N11" s="169"/>
      <c r="O11" s="169"/>
      <c r="P11" s="21"/>
    </row>
    <row r="12" spans="1:16" ht="54" hidden="1">
      <c r="A12" s="408">
        <v>6</v>
      </c>
      <c r="B12" s="169" t="s">
        <v>745</v>
      </c>
      <c r="C12" s="169"/>
      <c r="D12" s="404" t="s">
        <v>320</v>
      </c>
      <c r="E12" s="305" t="s">
        <v>776</v>
      </c>
      <c r="F12" s="816"/>
      <c r="G12" s="408" t="s">
        <v>23</v>
      </c>
      <c r="H12" s="408" t="s">
        <v>77</v>
      </c>
      <c r="I12" s="408">
        <v>1399</v>
      </c>
      <c r="J12" s="21" t="s">
        <v>25</v>
      </c>
      <c r="K12" s="275">
        <v>0.75</v>
      </c>
      <c r="L12" s="169"/>
      <c r="M12" s="404" t="s">
        <v>39</v>
      </c>
      <c r="N12" s="169"/>
      <c r="O12" s="169"/>
      <c r="P12" s="21"/>
    </row>
    <row r="13" spans="1:16" ht="54" hidden="1">
      <c r="A13" s="408">
        <v>7</v>
      </c>
      <c r="B13" s="169" t="s">
        <v>745</v>
      </c>
      <c r="C13" s="169"/>
      <c r="D13" s="404" t="s">
        <v>320</v>
      </c>
      <c r="E13" s="305" t="s">
        <v>775</v>
      </c>
      <c r="F13" s="816"/>
      <c r="G13" s="408" t="s">
        <v>23</v>
      </c>
      <c r="H13" s="408" t="s">
        <v>77</v>
      </c>
      <c r="I13" s="408">
        <v>1399</v>
      </c>
      <c r="J13" s="21" t="s">
        <v>25</v>
      </c>
      <c r="K13" s="275">
        <v>0.75</v>
      </c>
      <c r="L13" s="169"/>
      <c r="M13" s="404" t="s">
        <v>39</v>
      </c>
      <c r="N13" s="169"/>
      <c r="O13" s="169"/>
      <c r="P13" s="21"/>
    </row>
    <row r="14" spans="1:16" ht="54" hidden="1">
      <c r="A14" s="408">
        <v>8</v>
      </c>
      <c r="B14" s="169" t="s">
        <v>745</v>
      </c>
      <c r="C14" s="169"/>
      <c r="D14" s="404" t="s">
        <v>320</v>
      </c>
      <c r="E14" s="305" t="s">
        <v>774</v>
      </c>
      <c r="F14" s="816"/>
      <c r="G14" s="408" t="s">
        <v>23</v>
      </c>
      <c r="H14" s="408" t="s">
        <v>77</v>
      </c>
      <c r="I14" s="408">
        <v>1399</v>
      </c>
      <c r="J14" s="21" t="s">
        <v>25</v>
      </c>
      <c r="K14" s="275"/>
      <c r="L14" s="21" t="s">
        <v>936</v>
      </c>
      <c r="M14" s="404" t="s">
        <v>39</v>
      </c>
      <c r="N14" s="169"/>
      <c r="O14" s="169"/>
      <c r="P14" s="817" t="s">
        <v>937</v>
      </c>
    </row>
    <row r="15" spans="1:16" ht="54" hidden="1">
      <c r="A15" s="408">
        <v>9</v>
      </c>
      <c r="B15" s="169" t="s">
        <v>745</v>
      </c>
      <c r="C15" s="169"/>
      <c r="D15" s="404" t="s">
        <v>320</v>
      </c>
      <c r="E15" s="305" t="s">
        <v>773</v>
      </c>
      <c r="F15" s="816"/>
      <c r="G15" s="408" t="s">
        <v>23</v>
      </c>
      <c r="H15" s="408" t="s">
        <v>77</v>
      </c>
      <c r="I15" s="408">
        <v>1399</v>
      </c>
      <c r="J15" s="21" t="s">
        <v>25</v>
      </c>
      <c r="K15" s="275"/>
      <c r="L15" s="21" t="s">
        <v>936</v>
      </c>
      <c r="M15" s="404" t="s">
        <v>39</v>
      </c>
      <c r="N15" s="169"/>
      <c r="O15" s="169"/>
      <c r="P15" s="817"/>
    </row>
    <row r="16" spans="1:16" ht="54" hidden="1">
      <c r="A16" s="408">
        <v>10</v>
      </c>
      <c r="B16" s="169" t="s">
        <v>745</v>
      </c>
      <c r="C16" s="169"/>
      <c r="D16" s="404" t="s">
        <v>320</v>
      </c>
      <c r="E16" s="293" t="s">
        <v>772</v>
      </c>
      <c r="F16" s="816"/>
      <c r="G16" s="408" t="s">
        <v>23</v>
      </c>
      <c r="H16" s="408" t="s">
        <v>77</v>
      </c>
      <c r="I16" s="408">
        <v>1399</v>
      </c>
      <c r="J16" s="21" t="s">
        <v>25</v>
      </c>
      <c r="K16" s="275">
        <v>0.8</v>
      </c>
      <c r="L16" s="169"/>
      <c r="M16" s="404" t="s">
        <v>39</v>
      </c>
      <c r="N16" s="169"/>
      <c r="O16" s="169"/>
      <c r="P16" s="21"/>
    </row>
    <row r="17" spans="1:16" ht="108" hidden="1">
      <c r="A17" s="408">
        <v>11</v>
      </c>
      <c r="B17" s="169" t="s">
        <v>745</v>
      </c>
      <c r="C17" s="169"/>
      <c r="D17" s="404" t="s">
        <v>320</v>
      </c>
      <c r="E17" s="293" t="s">
        <v>771</v>
      </c>
      <c r="F17" s="816"/>
      <c r="G17" s="408" t="s">
        <v>23</v>
      </c>
      <c r="H17" s="408" t="s">
        <v>77</v>
      </c>
      <c r="I17" s="408">
        <v>1399</v>
      </c>
      <c r="J17" s="21" t="s">
        <v>25</v>
      </c>
      <c r="K17" s="275">
        <v>0.9</v>
      </c>
      <c r="L17" s="169"/>
      <c r="M17" s="404" t="s">
        <v>39</v>
      </c>
      <c r="N17" s="169"/>
      <c r="O17" s="169"/>
      <c r="P17" s="21"/>
    </row>
    <row r="18" spans="1:16" ht="180" hidden="1">
      <c r="A18" s="408">
        <v>12</v>
      </c>
      <c r="B18" s="169" t="s">
        <v>745</v>
      </c>
      <c r="C18" s="169" t="s">
        <v>768</v>
      </c>
      <c r="D18" s="404" t="s">
        <v>320</v>
      </c>
      <c r="E18" s="405" t="s">
        <v>949</v>
      </c>
      <c r="F18" s="816"/>
      <c r="G18" s="408" t="s">
        <v>23</v>
      </c>
      <c r="H18" s="408" t="s">
        <v>77</v>
      </c>
      <c r="I18" s="408">
        <v>1399</v>
      </c>
      <c r="J18" s="21" t="s">
        <v>25</v>
      </c>
      <c r="K18" s="275">
        <v>0.9</v>
      </c>
      <c r="L18" s="169"/>
      <c r="M18" s="404" t="s">
        <v>39</v>
      </c>
      <c r="N18" s="169"/>
      <c r="O18" s="169"/>
      <c r="P18" s="21" t="s">
        <v>948</v>
      </c>
    </row>
    <row r="19" spans="1:16" ht="54" hidden="1">
      <c r="A19" s="408">
        <v>13</v>
      </c>
      <c r="B19" s="169" t="s">
        <v>745</v>
      </c>
      <c r="C19" s="169" t="s">
        <v>770</v>
      </c>
      <c r="D19" s="404" t="s">
        <v>935</v>
      </c>
      <c r="E19" s="405" t="s">
        <v>769</v>
      </c>
      <c r="F19" s="184">
        <v>237666.66666666666</v>
      </c>
      <c r="G19" s="408" t="s">
        <v>23</v>
      </c>
      <c r="H19" s="408" t="s">
        <v>77</v>
      </c>
      <c r="I19" s="408">
        <v>1399</v>
      </c>
      <c r="J19" s="21" t="s">
        <v>25</v>
      </c>
      <c r="K19" s="275">
        <v>1</v>
      </c>
      <c r="L19" s="169"/>
      <c r="M19" s="404" t="s">
        <v>33</v>
      </c>
      <c r="N19" s="169"/>
      <c r="O19" s="169"/>
      <c r="P19" s="21"/>
    </row>
    <row r="20" spans="1:16" s="574" customFormat="1" ht="66" customHeight="1">
      <c r="A20" s="584">
        <v>1</v>
      </c>
      <c r="B20" s="169" t="s">
        <v>745</v>
      </c>
      <c r="C20" s="169"/>
      <c r="D20" s="573" t="s">
        <v>320</v>
      </c>
      <c r="E20" s="293" t="s">
        <v>777</v>
      </c>
      <c r="F20" s="818" t="s">
        <v>1477</v>
      </c>
      <c r="G20" s="584" t="s">
        <v>23</v>
      </c>
      <c r="H20" s="584" t="s">
        <v>77</v>
      </c>
      <c r="I20" s="584">
        <v>1399</v>
      </c>
      <c r="J20" s="571" t="s">
        <v>25</v>
      </c>
      <c r="K20" s="275">
        <v>1</v>
      </c>
      <c r="L20" s="169"/>
      <c r="M20" s="783" t="s">
        <v>1116</v>
      </c>
      <c r="N20" s="169"/>
      <c r="O20" s="169"/>
      <c r="P20" s="571"/>
    </row>
    <row r="21" spans="1:16" s="574" customFormat="1" ht="54">
      <c r="A21" s="584">
        <v>2</v>
      </c>
      <c r="B21" s="169" t="s">
        <v>745</v>
      </c>
      <c r="C21" s="169"/>
      <c r="D21" s="573" t="s">
        <v>320</v>
      </c>
      <c r="E21" s="305" t="s">
        <v>776</v>
      </c>
      <c r="F21" s="818"/>
      <c r="G21" s="584" t="s">
        <v>23</v>
      </c>
      <c r="H21" s="584" t="s">
        <v>77</v>
      </c>
      <c r="I21" s="584">
        <v>1399</v>
      </c>
      <c r="J21" s="571" t="s">
        <v>25</v>
      </c>
      <c r="K21" s="275">
        <v>1</v>
      </c>
      <c r="L21" s="169"/>
      <c r="M21" s="783" t="s">
        <v>1116</v>
      </c>
      <c r="N21" s="169"/>
      <c r="O21" s="169"/>
      <c r="P21" s="571"/>
    </row>
    <row r="22" spans="1:16" s="574" customFormat="1" ht="54">
      <c r="A22" s="589">
        <v>3</v>
      </c>
      <c r="B22" s="169" t="s">
        <v>745</v>
      </c>
      <c r="C22" s="169"/>
      <c r="D22" s="573" t="s">
        <v>320</v>
      </c>
      <c r="E22" s="305" t="s">
        <v>775</v>
      </c>
      <c r="F22" s="818"/>
      <c r="G22" s="584" t="s">
        <v>23</v>
      </c>
      <c r="H22" s="584" t="s">
        <v>77</v>
      </c>
      <c r="I22" s="584">
        <v>1399</v>
      </c>
      <c r="J22" s="571" t="s">
        <v>25</v>
      </c>
      <c r="K22" s="275">
        <v>1</v>
      </c>
      <c r="L22" s="169"/>
      <c r="M22" s="783" t="s">
        <v>1116</v>
      </c>
      <c r="N22" s="169"/>
      <c r="O22" s="169"/>
      <c r="P22" s="571"/>
    </row>
    <row r="23" spans="1:16" s="574" customFormat="1" ht="54">
      <c r="A23" s="589">
        <v>4</v>
      </c>
      <c r="B23" s="169" t="s">
        <v>745</v>
      </c>
      <c r="C23" s="169"/>
      <c r="D23" s="573" t="s">
        <v>320</v>
      </c>
      <c r="E23" s="305" t="s">
        <v>774</v>
      </c>
      <c r="F23" s="818"/>
      <c r="G23" s="584" t="s">
        <v>23</v>
      </c>
      <c r="H23" s="584" t="s">
        <v>77</v>
      </c>
      <c r="I23" s="584">
        <v>1399</v>
      </c>
      <c r="J23" s="571" t="s">
        <v>25</v>
      </c>
      <c r="K23" s="275">
        <v>1</v>
      </c>
      <c r="L23" s="571" t="s">
        <v>936</v>
      </c>
      <c r="M23" s="783" t="s">
        <v>1116</v>
      </c>
      <c r="N23" s="169"/>
      <c r="O23" s="169"/>
      <c r="P23" s="817" t="s">
        <v>937</v>
      </c>
    </row>
    <row r="24" spans="1:16" s="574" customFormat="1" ht="54">
      <c r="A24" s="589">
        <v>5</v>
      </c>
      <c r="B24" s="169" t="s">
        <v>745</v>
      </c>
      <c r="C24" s="169"/>
      <c r="D24" s="573" t="s">
        <v>320</v>
      </c>
      <c r="E24" s="305" t="s">
        <v>773</v>
      </c>
      <c r="F24" s="818"/>
      <c r="G24" s="584" t="s">
        <v>23</v>
      </c>
      <c r="H24" s="584" t="s">
        <v>77</v>
      </c>
      <c r="I24" s="584">
        <v>1399</v>
      </c>
      <c r="J24" s="571" t="s">
        <v>25</v>
      </c>
      <c r="K24" s="275">
        <v>1</v>
      </c>
      <c r="L24" s="571" t="s">
        <v>936</v>
      </c>
      <c r="M24" s="783" t="s">
        <v>1116</v>
      </c>
      <c r="N24" s="169"/>
      <c r="O24" s="169"/>
      <c r="P24" s="817"/>
    </row>
    <row r="25" spans="1:16" s="574" customFormat="1" ht="54">
      <c r="A25" s="589">
        <v>6</v>
      </c>
      <c r="B25" s="169" t="s">
        <v>745</v>
      </c>
      <c r="C25" s="169"/>
      <c r="D25" s="573" t="s">
        <v>320</v>
      </c>
      <c r="E25" s="293" t="s">
        <v>772</v>
      </c>
      <c r="F25" s="818"/>
      <c r="G25" s="584" t="s">
        <v>23</v>
      </c>
      <c r="H25" s="584" t="s">
        <v>77</v>
      </c>
      <c r="I25" s="584">
        <v>1399</v>
      </c>
      <c r="J25" s="571" t="s">
        <v>25</v>
      </c>
      <c r="K25" s="275">
        <v>1</v>
      </c>
      <c r="L25" s="169"/>
      <c r="M25" s="783" t="s">
        <v>1116</v>
      </c>
      <c r="N25" s="169"/>
      <c r="O25" s="169"/>
      <c r="P25" s="571"/>
    </row>
    <row r="26" spans="1:16" s="574" customFormat="1" ht="108">
      <c r="A26" s="589">
        <v>7</v>
      </c>
      <c r="B26" s="169" t="s">
        <v>745</v>
      </c>
      <c r="C26" s="169"/>
      <c r="D26" s="573" t="s">
        <v>320</v>
      </c>
      <c r="E26" s="293" t="s">
        <v>771</v>
      </c>
      <c r="F26" s="818"/>
      <c r="G26" s="584" t="s">
        <v>23</v>
      </c>
      <c r="H26" s="584" t="s">
        <v>77</v>
      </c>
      <c r="I26" s="584">
        <v>1399</v>
      </c>
      <c r="J26" s="571" t="s">
        <v>25</v>
      </c>
      <c r="K26" s="275">
        <v>1</v>
      </c>
      <c r="L26" s="169"/>
      <c r="M26" s="783" t="s">
        <v>1116</v>
      </c>
      <c r="N26" s="169"/>
      <c r="O26" s="169"/>
      <c r="P26" s="571"/>
    </row>
    <row r="27" spans="1:16" s="574" customFormat="1" ht="54" customHeight="1">
      <c r="A27" s="589">
        <v>8</v>
      </c>
      <c r="B27" s="275" t="s">
        <v>745</v>
      </c>
      <c r="C27" s="275"/>
      <c r="D27" s="275" t="s">
        <v>320</v>
      </c>
      <c r="E27" s="275" t="s">
        <v>769</v>
      </c>
      <c r="F27" s="332">
        <v>237666.66666666666</v>
      </c>
      <c r="G27" s="681" t="s">
        <v>23</v>
      </c>
      <c r="H27" s="681" t="s">
        <v>77</v>
      </c>
      <c r="I27" s="681">
        <v>1399</v>
      </c>
      <c r="J27" s="683" t="s">
        <v>25</v>
      </c>
      <c r="K27" s="275">
        <v>1</v>
      </c>
      <c r="L27" s="275"/>
      <c r="M27" s="783" t="s">
        <v>1116</v>
      </c>
      <c r="N27" s="590"/>
      <c r="O27" s="590"/>
      <c r="P27" s="590"/>
    </row>
    <row r="28" spans="1:16" s="574" customFormat="1" ht="54">
      <c r="A28" s="589">
        <v>9</v>
      </c>
      <c r="B28" s="85" t="s">
        <v>745</v>
      </c>
      <c r="C28" s="169" t="s">
        <v>786</v>
      </c>
      <c r="D28" s="573" t="s">
        <v>779</v>
      </c>
      <c r="E28" s="576" t="s">
        <v>785</v>
      </c>
      <c r="F28" s="184">
        <v>17165854</v>
      </c>
      <c r="G28" s="584" t="s">
        <v>23</v>
      </c>
      <c r="H28" s="584" t="s">
        <v>77</v>
      </c>
      <c r="I28" s="584">
        <v>1399</v>
      </c>
      <c r="J28" s="571" t="s">
        <v>25</v>
      </c>
      <c r="K28" s="275">
        <v>1</v>
      </c>
      <c r="L28" s="573"/>
      <c r="M28" s="783" t="s">
        <v>1116</v>
      </c>
      <c r="N28" s="573"/>
      <c r="O28" s="573"/>
      <c r="P28" s="584"/>
    </row>
    <row r="29" spans="1:16" s="574" customFormat="1" ht="54">
      <c r="A29" s="589">
        <v>10</v>
      </c>
      <c r="B29" s="85" t="s">
        <v>745</v>
      </c>
      <c r="C29" s="169" t="s">
        <v>784</v>
      </c>
      <c r="D29" s="573" t="s">
        <v>779</v>
      </c>
      <c r="E29" s="576" t="s">
        <v>783</v>
      </c>
      <c r="F29" s="184">
        <v>24023998</v>
      </c>
      <c r="G29" s="584" t="s">
        <v>23</v>
      </c>
      <c r="H29" s="584" t="s">
        <v>77</v>
      </c>
      <c r="I29" s="584">
        <v>1399</v>
      </c>
      <c r="J29" s="571" t="s">
        <v>25</v>
      </c>
      <c r="K29" s="275">
        <v>1</v>
      </c>
      <c r="L29" s="573"/>
      <c r="M29" s="783" t="s">
        <v>1116</v>
      </c>
      <c r="N29" s="573"/>
      <c r="O29" s="573"/>
      <c r="P29" s="584"/>
    </row>
    <row r="30" spans="1:16" s="574" customFormat="1" ht="54">
      <c r="A30" s="589">
        <v>11</v>
      </c>
      <c r="B30" s="85" t="s">
        <v>745</v>
      </c>
      <c r="C30" s="169" t="s">
        <v>782</v>
      </c>
      <c r="D30" s="573" t="s">
        <v>779</v>
      </c>
      <c r="E30" s="576" t="s">
        <v>781</v>
      </c>
      <c r="F30" s="184">
        <v>24791462</v>
      </c>
      <c r="G30" s="584" t="s">
        <v>23</v>
      </c>
      <c r="H30" s="584" t="s">
        <v>77</v>
      </c>
      <c r="I30" s="584">
        <v>1399</v>
      </c>
      <c r="J30" s="571" t="s">
        <v>25</v>
      </c>
      <c r="K30" s="275">
        <v>1</v>
      </c>
      <c r="L30" s="573"/>
      <c r="M30" s="783" t="s">
        <v>1116</v>
      </c>
      <c r="N30" s="573"/>
      <c r="O30" s="573"/>
      <c r="P30" s="584"/>
    </row>
    <row r="31" spans="1:16" s="574" customFormat="1" ht="54">
      <c r="A31" s="589">
        <v>12</v>
      </c>
      <c r="B31" s="85" t="s">
        <v>745</v>
      </c>
      <c r="C31" s="169" t="s">
        <v>780</v>
      </c>
      <c r="D31" s="573" t="s">
        <v>779</v>
      </c>
      <c r="E31" s="576" t="s">
        <v>778</v>
      </c>
      <c r="F31" s="184">
        <v>26800416</v>
      </c>
      <c r="G31" s="584" t="s">
        <v>23</v>
      </c>
      <c r="H31" s="584" t="s">
        <v>77</v>
      </c>
      <c r="I31" s="584">
        <v>1399</v>
      </c>
      <c r="J31" s="571" t="s">
        <v>25</v>
      </c>
      <c r="K31" s="275">
        <v>1</v>
      </c>
      <c r="L31" s="573"/>
      <c r="M31" s="783" t="s">
        <v>1116</v>
      </c>
      <c r="N31" s="573"/>
      <c r="O31" s="573"/>
      <c r="P31" s="584"/>
    </row>
    <row r="32" spans="1:16" ht="54">
      <c r="A32" s="589">
        <v>13</v>
      </c>
      <c r="B32" s="169" t="s">
        <v>745</v>
      </c>
      <c r="C32" s="169"/>
      <c r="D32" s="404" t="s">
        <v>28</v>
      </c>
      <c r="E32" s="405" t="s">
        <v>767</v>
      </c>
      <c r="F32" s="184">
        <v>180000</v>
      </c>
      <c r="G32" s="408" t="s">
        <v>23</v>
      </c>
      <c r="H32" s="408" t="s">
        <v>77</v>
      </c>
      <c r="I32" s="408">
        <v>1399</v>
      </c>
      <c r="J32" s="21" t="s">
        <v>25</v>
      </c>
      <c r="K32" s="275">
        <v>1</v>
      </c>
      <c r="L32" s="404"/>
      <c r="M32" s="783" t="s">
        <v>1116</v>
      </c>
      <c r="N32" s="404"/>
      <c r="O32" s="404"/>
      <c r="P32" s="408"/>
    </row>
    <row r="33" spans="1:16" ht="54">
      <c r="A33" s="589">
        <v>14</v>
      </c>
      <c r="B33" s="169" t="s">
        <v>745</v>
      </c>
      <c r="C33" s="169"/>
      <c r="D33" s="404" t="s">
        <v>28</v>
      </c>
      <c r="E33" s="405" t="s">
        <v>641</v>
      </c>
      <c r="F33" s="184">
        <v>8400000</v>
      </c>
      <c r="G33" s="408" t="s">
        <v>23</v>
      </c>
      <c r="H33" s="408" t="s">
        <v>77</v>
      </c>
      <c r="I33" s="408">
        <v>1399</v>
      </c>
      <c r="J33" s="21" t="s">
        <v>25</v>
      </c>
      <c r="K33" s="275">
        <v>1</v>
      </c>
      <c r="L33" s="405"/>
      <c r="M33" s="783" t="s">
        <v>1116</v>
      </c>
      <c r="N33" s="406"/>
      <c r="O33" s="405"/>
      <c r="P33" s="251" t="s">
        <v>952</v>
      </c>
    </row>
    <row r="34" spans="1:16" ht="54">
      <c r="A34" s="589">
        <v>15</v>
      </c>
      <c r="B34" s="169" t="s">
        <v>745</v>
      </c>
      <c r="C34" s="169"/>
      <c r="D34" s="404" t="s">
        <v>28</v>
      </c>
      <c r="E34" s="405" t="s">
        <v>938</v>
      </c>
      <c r="F34" s="184">
        <v>62250</v>
      </c>
      <c r="G34" s="408" t="s">
        <v>23</v>
      </c>
      <c r="H34" s="408" t="s">
        <v>77</v>
      </c>
      <c r="I34" s="408">
        <v>1399</v>
      </c>
      <c r="J34" s="21" t="s">
        <v>25</v>
      </c>
      <c r="K34" s="275">
        <v>1</v>
      </c>
      <c r="L34" s="404"/>
      <c r="M34" s="783" t="s">
        <v>1116</v>
      </c>
      <c r="N34" s="404"/>
      <c r="O34" s="404"/>
      <c r="P34" s="408"/>
    </row>
    <row r="35" spans="1:16" ht="54">
      <c r="A35" s="589">
        <v>16</v>
      </c>
      <c r="B35" s="169" t="s">
        <v>745</v>
      </c>
      <c r="C35" s="169"/>
      <c r="D35" s="404" t="s">
        <v>116</v>
      </c>
      <c r="E35" s="405" t="s">
        <v>22</v>
      </c>
      <c r="F35" s="184">
        <v>640000</v>
      </c>
      <c r="G35" s="408" t="s">
        <v>23</v>
      </c>
      <c r="H35" s="408" t="s">
        <v>77</v>
      </c>
      <c r="I35" s="408">
        <v>1399</v>
      </c>
      <c r="J35" s="21" t="s">
        <v>25</v>
      </c>
      <c r="K35" s="275">
        <v>1</v>
      </c>
      <c r="L35" s="404"/>
      <c r="M35" s="783" t="s">
        <v>1116</v>
      </c>
      <c r="N35" s="404"/>
      <c r="O35" s="404"/>
      <c r="P35" s="408"/>
    </row>
    <row r="36" spans="1:16" ht="72">
      <c r="A36" s="589">
        <v>17</v>
      </c>
      <c r="B36" s="169" t="s">
        <v>745</v>
      </c>
      <c r="C36" s="169"/>
      <c r="D36" s="404" t="s">
        <v>116</v>
      </c>
      <c r="E36" s="405" t="s">
        <v>131</v>
      </c>
      <c r="F36" s="184">
        <v>17000</v>
      </c>
      <c r="G36" s="408" t="s">
        <v>23</v>
      </c>
      <c r="H36" s="408" t="s">
        <v>77</v>
      </c>
      <c r="I36" s="408">
        <v>1399</v>
      </c>
      <c r="J36" s="21" t="s">
        <v>25</v>
      </c>
      <c r="K36" s="275">
        <v>1</v>
      </c>
      <c r="L36" s="404"/>
      <c r="M36" s="783" t="s">
        <v>1116</v>
      </c>
      <c r="N36" s="404"/>
      <c r="O36" s="404"/>
      <c r="P36" s="408"/>
    </row>
    <row r="37" spans="1:16" ht="54">
      <c r="A37" s="589">
        <v>18</v>
      </c>
      <c r="B37" s="21" t="s">
        <v>745</v>
      </c>
      <c r="C37" s="21" t="s">
        <v>940</v>
      </c>
      <c r="D37" s="408" t="s">
        <v>941</v>
      </c>
      <c r="E37" s="408" t="s">
        <v>942</v>
      </c>
      <c r="F37" s="286">
        <v>536000</v>
      </c>
      <c r="G37" s="408" t="s">
        <v>23</v>
      </c>
      <c r="H37" s="408" t="s">
        <v>77</v>
      </c>
      <c r="I37" s="408">
        <v>1399</v>
      </c>
      <c r="J37" s="21" t="s">
        <v>25</v>
      </c>
      <c r="K37" s="275">
        <v>1</v>
      </c>
      <c r="L37" s="408"/>
      <c r="M37" s="783" t="s">
        <v>1116</v>
      </c>
      <c r="N37" s="408"/>
      <c r="O37" s="408"/>
      <c r="P37" s="408"/>
    </row>
    <row r="38" spans="1:16" ht="168" customHeight="1">
      <c r="A38" s="589">
        <v>19</v>
      </c>
      <c r="B38" s="169" t="s">
        <v>745</v>
      </c>
      <c r="C38" s="169" t="s">
        <v>766</v>
      </c>
      <c r="D38" s="404" t="s">
        <v>55</v>
      </c>
      <c r="E38" s="251" t="s">
        <v>765</v>
      </c>
      <c r="F38" s="184">
        <v>199900</v>
      </c>
      <c r="G38" s="408" t="s">
        <v>23</v>
      </c>
      <c r="H38" s="408" t="s">
        <v>77</v>
      </c>
      <c r="I38" s="408">
        <v>1399</v>
      </c>
      <c r="J38" s="21" t="s">
        <v>25</v>
      </c>
      <c r="K38" s="275">
        <v>1</v>
      </c>
      <c r="L38" s="404"/>
      <c r="M38" s="783" t="s">
        <v>1116</v>
      </c>
      <c r="N38" s="404"/>
      <c r="O38" s="304"/>
      <c r="P38" s="303"/>
    </row>
    <row r="39" spans="1:16" ht="54">
      <c r="A39" s="589">
        <v>20</v>
      </c>
      <c r="B39" s="169" t="s">
        <v>745</v>
      </c>
      <c r="C39" s="169"/>
      <c r="D39" s="404" t="s">
        <v>31</v>
      </c>
      <c r="E39" s="405" t="s">
        <v>132</v>
      </c>
      <c r="F39" s="184">
        <v>200000</v>
      </c>
      <c r="G39" s="408" t="s">
        <v>23</v>
      </c>
      <c r="H39" s="408" t="s">
        <v>77</v>
      </c>
      <c r="I39" s="408">
        <v>1399</v>
      </c>
      <c r="J39" s="21" t="s">
        <v>25</v>
      </c>
      <c r="K39" s="275">
        <v>1</v>
      </c>
      <c r="L39" s="404"/>
      <c r="M39" s="783" t="s">
        <v>1116</v>
      </c>
      <c r="N39" s="404"/>
      <c r="O39" s="404"/>
      <c r="P39" s="303"/>
    </row>
    <row r="40" spans="1:16" ht="54">
      <c r="A40" s="589">
        <v>21</v>
      </c>
      <c r="B40" s="169" t="s">
        <v>745</v>
      </c>
      <c r="C40" s="169"/>
      <c r="D40" s="404" t="s">
        <v>31</v>
      </c>
      <c r="E40" s="405" t="s">
        <v>120</v>
      </c>
      <c r="F40" s="184">
        <v>502773</v>
      </c>
      <c r="G40" s="408" t="s">
        <v>23</v>
      </c>
      <c r="H40" s="408" t="s">
        <v>77</v>
      </c>
      <c r="I40" s="408">
        <v>1399</v>
      </c>
      <c r="J40" s="21" t="s">
        <v>25</v>
      </c>
      <c r="K40" s="275">
        <v>1</v>
      </c>
      <c r="L40" s="404"/>
      <c r="M40" s="783" t="s">
        <v>1116</v>
      </c>
      <c r="N40" s="404"/>
      <c r="O40" s="169"/>
      <c r="P40" s="303"/>
    </row>
    <row r="41" spans="1:16" ht="54">
      <c r="A41" s="589">
        <v>22</v>
      </c>
      <c r="B41" s="169" t="s">
        <v>745</v>
      </c>
      <c r="C41" s="169"/>
      <c r="D41" s="404" t="s">
        <v>31</v>
      </c>
      <c r="E41" s="405" t="s">
        <v>121</v>
      </c>
      <c r="F41" s="184">
        <v>414040</v>
      </c>
      <c r="G41" s="408" t="s">
        <v>23</v>
      </c>
      <c r="H41" s="408" t="s">
        <v>77</v>
      </c>
      <c r="I41" s="408">
        <v>1399</v>
      </c>
      <c r="J41" s="21" t="s">
        <v>25</v>
      </c>
      <c r="K41" s="275">
        <v>1</v>
      </c>
      <c r="L41" s="404"/>
      <c r="M41" s="783" t="s">
        <v>1116</v>
      </c>
      <c r="N41" s="404"/>
      <c r="O41" s="169"/>
      <c r="P41" s="303"/>
    </row>
    <row r="42" spans="1:16" ht="54">
      <c r="A42" s="589">
        <v>23</v>
      </c>
      <c r="B42" s="169" t="s">
        <v>745</v>
      </c>
      <c r="C42" s="169"/>
      <c r="D42" s="169" t="s">
        <v>40</v>
      </c>
      <c r="E42" s="164" t="s">
        <v>133</v>
      </c>
      <c r="F42" s="184">
        <v>1413600</v>
      </c>
      <c r="G42" s="408" t="s">
        <v>23</v>
      </c>
      <c r="H42" s="408" t="s">
        <v>41</v>
      </c>
      <c r="I42" s="408">
        <v>1399</v>
      </c>
      <c r="J42" s="21" t="s">
        <v>25</v>
      </c>
      <c r="K42" s="275">
        <v>1</v>
      </c>
      <c r="L42" s="404"/>
      <c r="M42" s="783" t="s">
        <v>1116</v>
      </c>
      <c r="N42" s="404"/>
      <c r="O42" s="250"/>
      <c r="P42" s="404"/>
    </row>
    <row r="43" spans="1:16" ht="54">
      <c r="A43" s="589">
        <v>24</v>
      </c>
      <c r="B43" s="169" t="s">
        <v>745</v>
      </c>
      <c r="C43" s="169"/>
      <c r="D43" s="169" t="s">
        <v>40</v>
      </c>
      <c r="E43" s="164" t="s">
        <v>764</v>
      </c>
      <c r="F43" s="184">
        <f>58032*200</f>
        <v>11606400</v>
      </c>
      <c r="G43" s="408" t="s">
        <v>23</v>
      </c>
      <c r="H43" s="408" t="s">
        <v>41</v>
      </c>
      <c r="I43" s="408">
        <v>1399</v>
      </c>
      <c r="J43" s="21" t="s">
        <v>25</v>
      </c>
      <c r="K43" s="275">
        <v>1</v>
      </c>
      <c r="L43" s="404"/>
      <c r="M43" s="783" t="s">
        <v>1116</v>
      </c>
      <c r="N43" s="404"/>
      <c r="O43" s="404"/>
      <c r="P43" s="404"/>
    </row>
    <row r="44" spans="1:16" ht="78.75">
      <c r="A44" s="589">
        <v>25</v>
      </c>
      <c r="B44" s="169" t="s">
        <v>745</v>
      </c>
      <c r="C44" s="169"/>
      <c r="D44" s="169" t="s">
        <v>40</v>
      </c>
      <c r="E44" s="164" t="s">
        <v>615</v>
      </c>
      <c r="F44" s="302" t="s">
        <v>17</v>
      </c>
      <c r="G44" s="408" t="s">
        <v>17</v>
      </c>
      <c r="H44" s="408" t="s">
        <v>17</v>
      </c>
      <c r="I44" s="408">
        <v>1399</v>
      </c>
      <c r="J44" s="21" t="s">
        <v>25</v>
      </c>
      <c r="K44" s="275">
        <v>1</v>
      </c>
      <c r="L44" s="404"/>
      <c r="M44" s="783" t="s">
        <v>1116</v>
      </c>
      <c r="N44" s="404"/>
      <c r="O44" s="249"/>
      <c r="P44" s="217" t="s">
        <v>324</v>
      </c>
    </row>
    <row r="45" spans="1:16" ht="108">
      <c r="A45" s="589">
        <v>26</v>
      </c>
      <c r="B45" s="169" t="s">
        <v>745</v>
      </c>
      <c r="C45" s="169"/>
      <c r="D45" s="169" t="s">
        <v>40</v>
      </c>
      <c r="E45" s="191" t="s">
        <v>763</v>
      </c>
      <c r="F45" s="184">
        <f>15*102300</f>
        <v>1534500</v>
      </c>
      <c r="G45" s="408" t="s">
        <v>23</v>
      </c>
      <c r="H45" s="408" t="s">
        <v>41</v>
      </c>
      <c r="I45" s="408">
        <v>1399</v>
      </c>
      <c r="J45" s="21" t="s">
        <v>25</v>
      </c>
      <c r="K45" s="275">
        <v>1</v>
      </c>
      <c r="L45" s="404" t="s">
        <v>947</v>
      </c>
      <c r="M45" s="783" t="s">
        <v>1116</v>
      </c>
      <c r="N45" s="406" t="s">
        <v>325</v>
      </c>
      <c r="O45" s="22" t="s">
        <v>960</v>
      </c>
      <c r="P45" s="404"/>
    </row>
    <row r="46" spans="1:16" ht="108">
      <c r="A46" s="589">
        <v>27</v>
      </c>
      <c r="B46" s="169" t="s">
        <v>745</v>
      </c>
      <c r="C46" s="169"/>
      <c r="D46" s="169" t="s">
        <v>40</v>
      </c>
      <c r="E46" s="191" t="s">
        <v>134</v>
      </c>
      <c r="F46" s="184">
        <v>68634</v>
      </c>
      <c r="G46" s="408" t="s">
        <v>23</v>
      </c>
      <c r="H46" s="408" t="s">
        <v>41</v>
      </c>
      <c r="I46" s="408">
        <v>1399</v>
      </c>
      <c r="J46" s="21" t="s">
        <v>25</v>
      </c>
      <c r="K46" s="275">
        <v>1</v>
      </c>
      <c r="L46" s="404" t="s">
        <v>947</v>
      </c>
      <c r="M46" s="783" t="s">
        <v>1116</v>
      </c>
      <c r="N46" s="406" t="s">
        <v>325</v>
      </c>
      <c r="O46" s="22" t="s">
        <v>960</v>
      </c>
      <c r="P46" s="404"/>
    </row>
    <row r="47" spans="1:16" ht="108">
      <c r="A47" s="589">
        <v>28</v>
      </c>
      <c r="B47" s="169" t="s">
        <v>745</v>
      </c>
      <c r="C47" s="169"/>
      <c r="D47" s="169" t="s">
        <v>40</v>
      </c>
      <c r="E47" s="164" t="s">
        <v>762</v>
      </c>
      <c r="F47" s="184">
        <f>223200*25</f>
        <v>5580000</v>
      </c>
      <c r="G47" s="408" t="s">
        <v>23</v>
      </c>
      <c r="H47" s="408" t="s">
        <v>41</v>
      </c>
      <c r="I47" s="408">
        <v>1399</v>
      </c>
      <c r="J47" s="21" t="s">
        <v>25</v>
      </c>
      <c r="K47" s="275">
        <v>1</v>
      </c>
      <c r="L47" s="404" t="s">
        <v>947</v>
      </c>
      <c r="M47" s="783" t="s">
        <v>1116</v>
      </c>
      <c r="N47" s="406" t="s">
        <v>325</v>
      </c>
      <c r="O47" s="22" t="s">
        <v>960</v>
      </c>
      <c r="P47" s="404"/>
    </row>
    <row r="48" spans="1:16" ht="108">
      <c r="A48" s="589">
        <v>29</v>
      </c>
      <c r="B48" s="169" t="s">
        <v>745</v>
      </c>
      <c r="C48" s="169"/>
      <c r="D48" s="169" t="s">
        <v>40</v>
      </c>
      <c r="E48" s="164" t="s">
        <v>761</v>
      </c>
      <c r="F48" s="184">
        <f>304452*13</f>
        <v>3957876</v>
      </c>
      <c r="G48" s="408" t="s">
        <v>23</v>
      </c>
      <c r="H48" s="408" t="s">
        <v>41</v>
      </c>
      <c r="I48" s="408">
        <v>1399</v>
      </c>
      <c r="J48" s="21" t="s">
        <v>25</v>
      </c>
      <c r="K48" s="275">
        <v>1</v>
      </c>
      <c r="L48" s="404" t="s">
        <v>947</v>
      </c>
      <c r="M48" s="783" t="s">
        <v>1116</v>
      </c>
      <c r="N48" s="406" t="s">
        <v>325</v>
      </c>
      <c r="O48" s="22" t="s">
        <v>960</v>
      </c>
      <c r="P48" s="404"/>
    </row>
    <row r="49" spans="1:16" ht="54">
      <c r="A49" s="589">
        <v>30</v>
      </c>
      <c r="B49" s="169" t="s">
        <v>745</v>
      </c>
      <c r="C49" s="169"/>
      <c r="D49" s="169" t="s">
        <v>40</v>
      </c>
      <c r="E49" s="164" t="s">
        <v>760</v>
      </c>
      <c r="F49" s="184">
        <f>720* 148</f>
        <v>106560</v>
      </c>
      <c r="G49" s="408" t="s">
        <v>23</v>
      </c>
      <c r="H49" s="408" t="s">
        <v>41</v>
      </c>
      <c r="I49" s="408">
        <v>1399</v>
      </c>
      <c r="J49" s="21" t="s">
        <v>25</v>
      </c>
      <c r="K49" s="275">
        <v>1</v>
      </c>
      <c r="L49" s="404"/>
      <c r="M49" s="783" t="s">
        <v>1116</v>
      </c>
      <c r="N49" s="404"/>
      <c r="O49" s="404"/>
      <c r="P49" s="404"/>
    </row>
    <row r="50" spans="1:16" ht="100.9" customHeight="1">
      <c r="A50" s="589">
        <v>31</v>
      </c>
      <c r="B50" s="169" t="s">
        <v>745</v>
      </c>
      <c r="C50" s="169"/>
      <c r="D50" s="169" t="s">
        <v>40</v>
      </c>
      <c r="E50" s="164" t="s">
        <v>86</v>
      </c>
      <c r="F50" s="184">
        <f>2*375000</f>
        <v>750000</v>
      </c>
      <c r="G50" s="408" t="s">
        <v>23</v>
      </c>
      <c r="H50" s="408" t="s">
        <v>41</v>
      </c>
      <c r="I50" s="408">
        <v>1399</v>
      </c>
      <c r="J50" s="21" t="s">
        <v>25</v>
      </c>
      <c r="K50" s="275">
        <v>1</v>
      </c>
      <c r="L50" s="404" t="s">
        <v>947</v>
      </c>
      <c r="M50" s="783" t="s">
        <v>1116</v>
      </c>
      <c r="N50" s="406" t="s">
        <v>325</v>
      </c>
      <c r="O50" s="22" t="s">
        <v>960</v>
      </c>
      <c r="P50" s="408"/>
    </row>
    <row r="51" spans="1:16" ht="54">
      <c r="A51" s="589">
        <v>32</v>
      </c>
      <c r="B51" s="169" t="s">
        <v>745</v>
      </c>
      <c r="C51" s="169"/>
      <c r="D51" s="169" t="s">
        <v>40</v>
      </c>
      <c r="E51" s="164" t="s">
        <v>136</v>
      </c>
      <c r="F51" s="184">
        <f>22320*26</f>
        <v>580320</v>
      </c>
      <c r="G51" s="408" t="s">
        <v>23</v>
      </c>
      <c r="H51" s="408" t="s">
        <v>41</v>
      </c>
      <c r="I51" s="408">
        <v>1399</v>
      </c>
      <c r="J51" s="21" t="s">
        <v>25</v>
      </c>
      <c r="K51" s="275">
        <v>1</v>
      </c>
      <c r="L51" s="404"/>
      <c r="M51" s="783" t="s">
        <v>1116</v>
      </c>
      <c r="N51" s="404"/>
      <c r="O51" s="404"/>
      <c r="P51" s="404"/>
    </row>
    <row r="52" spans="1:16" ht="54">
      <c r="A52" s="589">
        <v>33</v>
      </c>
      <c r="B52" s="169" t="s">
        <v>745</v>
      </c>
      <c r="C52" s="169"/>
      <c r="D52" s="169" t="s">
        <v>40</v>
      </c>
      <c r="E52" s="164" t="s">
        <v>677</v>
      </c>
      <c r="F52" s="184">
        <f>3645*3</f>
        <v>10935</v>
      </c>
      <c r="G52" s="408" t="s">
        <v>23</v>
      </c>
      <c r="H52" s="408" t="s">
        <v>41</v>
      </c>
      <c r="I52" s="408">
        <v>1399</v>
      </c>
      <c r="J52" s="21" t="s">
        <v>25</v>
      </c>
      <c r="K52" s="275">
        <v>1</v>
      </c>
      <c r="L52" s="404"/>
      <c r="M52" s="783" t="s">
        <v>1116</v>
      </c>
      <c r="N52" s="404"/>
      <c r="O52" s="404"/>
      <c r="P52" s="404"/>
    </row>
    <row r="53" spans="1:16" ht="54">
      <c r="A53" s="589">
        <v>34</v>
      </c>
      <c r="B53" s="169" t="s">
        <v>745</v>
      </c>
      <c r="C53" s="169"/>
      <c r="D53" s="169" t="s">
        <v>40</v>
      </c>
      <c r="E53" s="164" t="s">
        <v>676</v>
      </c>
      <c r="F53" s="184">
        <f>44640*3</f>
        <v>133920</v>
      </c>
      <c r="G53" s="408" t="s">
        <v>23</v>
      </c>
      <c r="H53" s="408" t="s">
        <v>41</v>
      </c>
      <c r="I53" s="408">
        <v>1399</v>
      </c>
      <c r="J53" s="21" t="s">
        <v>25</v>
      </c>
      <c r="K53" s="275">
        <v>1</v>
      </c>
      <c r="L53" s="404"/>
      <c r="M53" s="783" t="s">
        <v>1116</v>
      </c>
      <c r="N53" s="404"/>
      <c r="O53" s="404"/>
      <c r="P53" s="404"/>
    </row>
    <row r="54" spans="1:16" ht="54">
      <c r="A54" s="589">
        <v>35</v>
      </c>
      <c r="B54" s="169" t="s">
        <v>745</v>
      </c>
      <c r="C54" s="169"/>
      <c r="D54" s="169" t="s">
        <v>40</v>
      </c>
      <c r="E54" s="164" t="s">
        <v>46</v>
      </c>
      <c r="F54" s="184">
        <f>5*52471</f>
        <v>262355</v>
      </c>
      <c r="G54" s="408" t="s">
        <v>23</v>
      </c>
      <c r="H54" s="408" t="s">
        <v>41</v>
      </c>
      <c r="I54" s="408">
        <v>1399</v>
      </c>
      <c r="J54" s="21" t="s">
        <v>25</v>
      </c>
      <c r="K54" s="275">
        <v>1</v>
      </c>
      <c r="L54" s="404"/>
      <c r="M54" s="783" t="s">
        <v>1116</v>
      </c>
      <c r="N54" s="404"/>
      <c r="O54" s="404"/>
      <c r="P54" s="404"/>
    </row>
    <row r="55" spans="1:16" ht="54">
      <c r="A55" s="589">
        <v>36</v>
      </c>
      <c r="B55" s="169" t="s">
        <v>745</v>
      </c>
      <c r="C55" s="169"/>
      <c r="D55" s="169" t="s">
        <v>40</v>
      </c>
      <c r="E55" s="164" t="s">
        <v>137</v>
      </c>
      <c r="F55" s="184">
        <f>1518*100</f>
        <v>151800</v>
      </c>
      <c r="G55" s="408" t="s">
        <v>23</v>
      </c>
      <c r="H55" s="408" t="s">
        <v>41</v>
      </c>
      <c r="I55" s="408">
        <v>1399</v>
      </c>
      <c r="J55" s="21" t="s">
        <v>25</v>
      </c>
      <c r="K55" s="275">
        <v>1</v>
      </c>
      <c r="L55" s="404"/>
      <c r="M55" s="783" t="s">
        <v>1116</v>
      </c>
      <c r="N55" s="404"/>
      <c r="O55" s="404"/>
      <c r="P55" s="408"/>
    </row>
    <row r="56" spans="1:16" ht="108">
      <c r="A56" s="589">
        <v>37</v>
      </c>
      <c r="B56" s="169" t="s">
        <v>745</v>
      </c>
      <c r="C56" s="169"/>
      <c r="D56" s="169" t="s">
        <v>40</v>
      </c>
      <c r="E56" s="164" t="s">
        <v>48</v>
      </c>
      <c r="F56" s="184">
        <f>42514*2</f>
        <v>85028</v>
      </c>
      <c r="G56" s="408" t="s">
        <v>23</v>
      </c>
      <c r="H56" s="408" t="s">
        <v>41</v>
      </c>
      <c r="I56" s="408">
        <v>1399</v>
      </c>
      <c r="J56" s="21" t="s">
        <v>25</v>
      </c>
      <c r="K56" s="275">
        <v>1</v>
      </c>
      <c r="L56" s="404" t="s">
        <v>947</v>
      </c>
      <c r="M56" s="783" t="s">
        <v>1116</v>
      </c>
      <c r="N56" s="406" t="s">
        <v>325</v>
      </c>
      <c r="O56" s="22" t="s">
        <v>960</v>
      </c>
      <c r="P56" s="404"/>
    </row>
    <row r="57" spans="1:16" ht="54">
      <c r="A57" s="589">
        <v>38</v>
      </c>
      <c r="B57" s="169" t="s">
        <v>745</v>
      </c>
      <c r="C57" s="169"/>
      <c r="D57" s="169" t="s">
        <v>40</v>
      </c>
      <c r="E57" s="405" t="s">
        <v>759</v>
      </c>
      <c r="F57" s="184">
        <f>1041*100</f>
        <v>104100</v>
      </c>
      <c r="G57" s="408" t="s">
        <v>23</v>
      </c>
      <c r="H57" s="408" t="s">
        <v>41</v>
      </c>
      <c r="I57" s="408">
        <v>1399</v>
      </c>
      <c r="J57" s="21" t="s">
        <v>25</v>
      </c>
      <c r="K57" s="275">
        <v>1</v>
      </c>
      <c r="L57" s="404"/>
      <c r="M57" s="783" t="s">
        <v>1116</v>
      </c>
      <c r="N57" s="184"/>
      <c r="O57" s="404"/>
      <c r="P57" s="404"/>
    </row>
    <row r="58" spans="1:16" ht="54">
      <c r="A58" s="589">
        <v>39</v>
      </c>
      <c r="B58" s="169" t="s">
        <v>745</v>
      </c>
      <c r="C58" s="169"/>
      <c r="D58" s="169" t="s">
        <v>40</v>
      </c>
      <c r="E58" s="405" t="s">
        <v>758</v>
      </c>
      <c r="F58" s="184">
        <f xml:space="preserve"> 729 *200</f>
        <v>145800</v>
      </c>
      <c r="G58" s="408" t="s">
        <v>23</v>
      </c>
      <c r="H58" s="408" t="s">
        <v>41</v>
      </c>
      <c r="I58" s="408">
        <v>1399</v>
      </c>
      <c r="J58" s="21" t="s">
        <v>25</v>
      </c>
      <c r="K58" s="275">
        <v>1</v>
      </c>
      <c r="L58" s="404"/>
      <c r="M58" s="783" t="s">
        <v>1116</v>
      </c>
      <c r="N58" s="184"/>
      <c r="O58" s="404"/>
      <c r="P58" s="404"/>
    </row>
    <row r="59" spans="1:16" ht="54">
      <c r="A59" s="589">
        <v>40</v>
      </c>
      <c r="B59" s="169" t="s">
        <v>745</v>
      </c>
      <c r="C59" s="169"/>
      <c r="D59" s="169" t="s">
        <v>40</v>
      </c>
      <c r="E59" s="405" t="s">
        <v>93</v>
      </c>
      <c r="F59" s="184">
        <f>911*100</f>
        <v>91100</v>
      </c>
      <c r="G59" s="408" t="s">
        <v>23</v>
      </c>
      <c r="H59" s="408" t="s">
        <v>41</v>
      </c>
      <c r="I59" s="408">
        <v>1399</v>
      </c>
      <c r="J59" s="21" t="s">
        <v>25</v>
      </c>
      <c r="K59" s="275">
        <v>1</v>
      </c>
      <c r="L59" s="404"/>
      <c r="M59" s="783" t="s">
        <v>1116</v>
      </c>
      <c r="N59" s="184"/>
      <c r="O59" s="404"/>
      <c r="P59" s="404"/>
    </row>
    <row r="60" spans="1:16" ht="72">
      <c r="A60" s="589">
        <v>41</v>
      </c>
      <c r="B60" s="169" t="s">
        <v>745</v>
      </c>
      <c r="C60" s="169"/>
      <c r="D60" s="169" t="s">
        <v>40</v>
      </c>
      <c r="E60" s="164" t="s">
        <v>138</v>
      </c>
      <c r="F60" s="184">
        <f>3434*150</f>
        <v>515100</v>
      </c>
      <c r="G60" s="408" t="s">
        <v>23</v>
      </c>
      <c r="H60" s="408" t="s">
        <v>41</v>
      </c>
      <c r="I60" s="408">
        <v>1399</v>
      </c>
      <c r="J60" s="21" t="s">
        <v>25</v>
      </c>
      <c r="K60" s="275">
        <v>1</v>
      </c>
      <c r="L60" s="404"/>
      <c r="M60" s="783" t="s">
        <v>1116</v>
      </c>
      <c r="N60" s="184"/>
      <c r="O60" s="404"/>
      <c r="P60" s="404"/>
    </row>
    <row r="61" spans="1:16" ht="54">
      <c r="A61" s="589">
        <v>42</v>
      </c>
      <c r="B61" s="169" t="s">
        <v>745</v>
      </c>
      <c r="C61" s="169"/>
      <c r="D61" s="169" t="s">
        <v>40</v>
      </c>
      <c r="E61" s="6" t="s">
        <v>439</v>
      </c>
      <c r="F61" s="184">
        <f>315*800</f>
        <v>252000</v>
      </c>
      <c r="G61" s="408" t="s">
        <v>23</v>
      </c>
      <c r="H61" s="408" t="s">
        <v>41</v>
      </c>
      <c r="I61" s="408">
        <v>1399</v>
      </c>
      <c r="J61" s="21" t="s">
        <v>25</v>
      </c>
      <c r="K61" s="275">
        <v>1</v>
      </c>
      <c r="L61" s="404"/>
      <c r="M61" s="783" t="s">
        <v>1116</v>
      </c>
      <c r="N61" s="404"/>
      <c r="O61" s="404"/>
      <c r="P61" s="404"/>
    </row>
    <row r="62" spans="1:16" ht="108">
      <c r="A62" s="589">
        <v>43</v>
      </c>
      <c r="B62" s="169" t="s">
        <v>745</v>
      </c>
      <c r="C62" s="169"/>
      <c r="D62" s="169" t="s">
        <v>40</v>
      </c>
      <c r="E62" s="6" t="s">
        <v>125</v>
      </c>
      <c r="F62" s="184">
        <v>45570</v>
      </c>
      <c r="G62" s="408" t="s">
        <v>23</v>
      </c>
      <c r="H62" s="408" t="s">
        <v>41</v>
      </c>
      <c r="I62" s="408">
        <v>1399</v>
      </c>
      <c r="J62" s="21" t="s">
        <v>25</v>
      </c>
      <c r="K62" s="275">
        <v>1</v>
      </c>
      <c r="L62" s="404" t="s">
        <v>947</v>
      </c>
      <c r="M62" s="783" t="s">
        <v>1116</v>
      </c>
      <c r="N62" s="406" t="s">
        <v>325</v>
      </c>
      <c r="O62" s="22" t="s">
        <v>960</v>
      </c>
      <c r="P62" s="404" t="s">
        <v>17</v>
      </c>
    </row>
    <row r="63" spans="1:16" ht="108">
      <c r="A63" s="589">
        <v>44</v>
      </c>
      <c r="B63" s="169" t="s">
        <v>745</v>
      </c>
      <c r="C63" s="169"/>
      <c r="D63" s="169" t="s">
        <v>40</v>
      </c>
      <c r="E63" s="6" t="s">
        <v>757</v>
      </c>
      <c r="F63" s="184">
        <f xml:space="preserve"> 10416*5</f>
        <v>52080</v>
      </c>
      <c r="G63" s="408" t="s">
        <v>23</v>
      </c>
      <c r="H63" s="408" t="s">
        <v>41</v>
      </c>
      <c r="I63" s="408">
        <v>1399</v>
      </c>
      <c r="J63" s="21" t="s">
        <v>25</v>
      </c>
      <c r="K63" s="275">
        <v>1</v>
      </c>
      <c r="L63" s="404" t="s">
        <v>947</v>
      </c>
      <c r="M63" s="783" t="s">
        <v>1116</v>
      </c>
      <c r="N63" s="406" t="s">
        <v>325</v>
      </c>
      <c r="O63" s="22" t="s">
        <v>960</v>
      </c>
      <c r="P63" s="404"/>
    </row>
    <row r="64" spans="1:16" ht="108">
      <c r="A64" s="589">
        <v>45</v>
      </c>
      <c r="B64" s="169" t="s">
        <v>745</v>
      </c>
      <c r="C64" s="169"/>
      <c r="D64" s="169" t="s">
        <v>40</v>
      </c>
      <c r="E64" s="164" t="s">
        <v>664</v>
      </c>
      <c r="F64" s="184">
        <f>5* 396797</f>
        <v>1983985</v>
      </c>
      <c r="G64" s="408" t="s">
        <v>23</v>
      </c>
      <c r="H64" s="408" t="s">
        <v>41</v>
      </c>
      <c r="I64" s="408">
        <v>1399</v>
      </c>
      <c r="J64" s="21" t="s">
        <v>25</v>
      </c>
      <c r="K64" s="275">
        <v>1</v>
      </c>
      <c r="L64" s="404" t="s">
        <v>947</v>
      </c>
      <c r="M64" s="783" t="s">
        <v>1116</v>
      </c>
      <c r="N64" s="406" t="s">
        <v>325</v>
      </c>
      <c r="O64" s="22" t="s">
        <v>960</v>
      </c>
      <c r="P64" s="408"/>
    </row>
    <row r="65" spans="1:16" ht="54">
      <c r="A65" s="589">
        <v>46</v>
      </c>
      <c r="B65" s="169" t="s">
        <v>745</v>
      </c>
      <c r="C65" s="169" t="s">
        <v>812</v>
      </c>
      <c r="D65" s="169" t="s">
        <v>40</v>
      </c>
      <c r="E65" s="164" t="s">
        <v>756</v>
      </c>
      <c r="F65" s="184">
        <f xml:space="preserve"> 31 *20000</f>
        <v>620000</v>
      </c>
      <c r="G65" s="408" t="s">
        <v>23</v>
      </c>
      <c r="H65" s="408" t="s">
        <v>41</v>
      </c>
      <c r="I65" s="408">
        <v>1399</v>
      </c>
      <c r="J65" s="21" t="s">
        <v>25</v>
      </c>
      <c r="K65" s="275">
        <v>1</v>
      </c>
      <c r="L65" s="404"/>
      <c r="M65" s="783" t="s">
        <v>1116</v>
      </c>
      <c r="N65" s="404"/>
      <c r="O65" s="404"/>
      <c r="P65" s="438" t="s">
        <v>17</v>
      </c>
    </row>
    <row r="66" spans="1:16" ht="54">
      <c r="A66" s="589">
        <v>47</v>
      </c>
      <c r="B66" s="169" t="s">
        <v>745</v>
      </c>
      <c r="C66" s="169" t="s">
        <v>812</v>
      </c>
      <c r="D66" s="169" t="s">
        <v>40</v>
      </c>
      <c r="E66" s="164" t="s">
        <v>755</v>
      </c>
      <c r="F66" s="184">
        <f xml:space="preserve"> 6.4 *105000</f>
        <v>672000</v>
      </c>
      <c r="G66" s="408" t="s">
        <v>23</v>
      </c>
      <c r="H66" s="408" t="s">
        <v>41</v>
      </c>
      <c r="I66" s="408">
        <v>1399</v>
      </c>
      <c r="J66" s="21" t="s">
        <v>25</v>
      </c>
      <c r="K66" s="275">
        <v>1</v>
      </c>
      <c r="L66" s="404"/>
      <c r="M66" s="783" t="s">
        <v>1116</v>
      </c>
      <c r="N66" s="404"/>
      <c r="O66" s="404"/>
      <c r="P66" s="438" t="s">
        <v>17</v>
      </c>
    </row>
    <row r="67" spans="1:16" ht="90">
      <c r="A67" s="589">
        <v>48</v>
      </c>
      <c r="B67" s="169" t="s">
        <v>745</v>
      </c>
      <c r="C67" s="169" t="s">
        <v>812</v>
      </c>
      <c r="D67" s="169" t="s">
        <v>40</v>
      </c>
      <c r="E67" s="164" t="s">
        <v>139</v>
      </c>
      <c r="F67" s="184">
        <f>15* 38500</f>
        <v>577500</v>
      </c>
      <c r="G67" s="408" t="s">
        <v>23</v>
      </c>
      <c r="H67" s="408" t="s">
        <v>41</v>
      </c>
      <c r="I67" s="408">
        <v>1399</v>
      </c>
      <c r="J67" s="21" t="s">
        <v>25</v>
      </c>
      <c r="K67" s="275">
        <v>1</v>
      </c>
      <c r="L67" s="404"/>
      <c r="M67" s="783" t="s">
        <v>1116</v>
      </c>
      <c r="N67" s="404"/>
      <c r="O67" s="404"/>
      <c r="P67" s="404" t="s">
        <v>17</v>
      </c>
    </row>
    <row r="68" spans="1:16" ht="90">
      <c r="A68" s="589">
        <v>49</v>
      </c>
      <c r="B68" s="169" t="s">
        <v>745</v>
      </c>
      <c r="C68" s="169" t="s">
        <v>812</v>
      </c>
      <c r="D68" s="169" t="s">
        <v>40</v>
      </c>
      <c r="E68" s="164" t="s">
        <v>754</v>
      </c>
      <c r="F68" s="184">
        <v>200000</v>
      </c>
      <c r="G68" s="408" t="s">
        <v>23</v>
      </c>
      <c r="H68" s="408" t="s">
        <v>41</v>
      </c>
      <c r="I68" s="408">
        <v>1399</v>
      </c>
      <c r="J68" s="21" t="s">
        <v>25</v>
      </c>
      <c r="K68" s="275">
        <v>1</v>
      </c>
      <c r="L68" s="404" t="s">
        <v>17</v>
      </c>
      <c r="M68" s="783" t="s">
        <v>1116</v>
      </c>
      <c r="N68" s="404"/>
      <c r="O68" s="404"/>
      <c r="P68" s="404" t="s">
        <v>17</v>
      </c>
    </row>
    <row r="69" spans="1:16" ht="108">
      <c r="A69" s="589">
        <v>50</v>
      </c>
      <c r="B69" s="169" t="s">
        <v>745</v>
      </c>
      <c r="C69" s="169" t="s">
        <v>812</v>
      </c>
      <c r="D69" s="169" t="s">
        <v>40</v>
      </c>
      <c r="E69" s="164" t="s">
        <v>753</v>
      </c>
      <c r="F69" s="184">
        <v>525000</v>
      </c>
      <c r="G69" s="408" t="s">
        <v>23</v>
      </c>
      <c r="H69" s="408" t="s">
        <v>41</v>
      </c>
      <c r="I69" s="408">
        <v>1399</v>
      </c>
      <c r="J69" s="21" t="s">
        <v>25</v>
      </c>
      <c r="K69" s="275">
        <v>1</v>
      </c>
      <c r="L69" s="404"/>
      <c r="M69" s="783" t="s">
        <v>1116</v>
      </c>
      <c r="N69" s="404"/>
      <c r="O69" s="404"/>
      <c r="P69" s="404" t="s">
        <v>17</v>
      </c>
    </row>
    <row r="70" spans="1:16" ht="108">
      <c r="A70" s="589">
        <v>51</v>
      </c>
      <c r="B70" s="169" t="s">
        <v>745</v>
      </c>
      <c r="C70" s="169"/>
      <c r="D70" s="169" t="s">
        <v>40</v>
      </c>
      <c r="E70" s="164" t="s">
        <v>752</v>
      </c>
      <c r="F70" s="184">
        <v>600000</v>
      </c>
      <c r="G70" s="408" t="s">
        <v>23</v>
      </c>
      <c r="H70" s="408" t="s">
        <v>41</v>
      </c>
      <c r="I70" s="408">
        <v>1399</v>
      </c>
      <c r="J70" s="21" t="s">
        <v>25</v>
      </c>
      <c r="K70" s="275">
        <v>1</v>
      </c>
      <c r="L70" s="404" t="s">
        <v>947</v>
      </c>
      <c r="M70" s="783" t="s">
        <v>1116</v>
      </c>
      <c r="N70" s="406" t="s">
        <v>325</v>
      </c>
      <c r="O70" s="22" t="s">
        <v>960</v>
      </c>
      <c r="P70" s="404"/>
    </row>
    <row r="71" spans="1:16" ht="54">
      <c r="A71" s="589">
        <v>52</v>
      </c>
      <c r="B71" s="169" t="s">
        <v>745</v>
      </c>
      <c r="C71" s="169" t="s">
        <v>751</v>
      </c>
      <c r="D71" s="407" t="s">
        <v>40</v>
      </c>
      <c r="E71" s="43" t="s">
        <v>707</v>
      </c>
      <c r="F71" s="184">
        <f>4842500/2</f>
        <v>2421250</v>
      </c>
      <c r="G71" s="294" t="s">
        <v>23</v>
      </c>
      <c r="H71" s="408" t="s">
        <v>41</v>
      </c>
      <c r="I71" s="294">
        <v>1399</v>
      </c>
      <c r="J71" s="6" t="s">
        <v>25</v>
      </c>
      <c r="K71" s="301">
        <v>1</v>
      </c>
      <c r="L71" s="175"/>
      <c r="M71" s="783" t="s">
        <v>1116</v>
      </c>
      <c r="N71" s="404"/>
      <c r="O71" s="404"/>
      <c r="P71" s="404"/>
    </row>
    <row r="72" spans="1:16" ht="72">
      <c r="A72" s="589">
        <v>53</v>
      </c>
      <c r="B72" s="169" t="s">
        <v>745</v>
      </c>
      <c r="C72" s="169" t="s">
        <v>750</v>
      </c>
      <c r="D72" s="169" t="s">
        <v>40</v>
      </c>
      <c r="E72" s="164" t="s">
        <v>140</v>
      </c>
      <c r="F72" s="184">
        <f>83077500/5</f>
        <v>16615500</v>
      </c>
      <c r="G72" s="408" t="s">
        <v>23</v>
      </c>
      <c r="H72" s="408" t="s">
        <v>41</v>
      </c>
      <c r="I72" s="408">
        <v>1399</v>
      </c>
      <c r="J72" s="21" t="s">
        <v>25</v>
      </c>
      <c r="K72" s="275">
        <v>1</v>
      </c>
      <c r="L72" s="404"/>
      <c r="M72" s="783" t="s">
        <v>1116</v>
      </c>
      <c r="N72" s="404"/>
      <c r="O72" s="404"/>
      <c r="P72" s="404"/>
    </row>
    <row r="73" spans="1:16" ht="108">
      <c r="A73" s="589">
        <v>54</v>
      </c>
      <c r="B73" s="169" t="s">
        <v>745</v>
      </c>
      <c r="C73" s="169"/>
      <c r="D73" s="169" t="s">
        <v>40</v>
      </c>
      <c r="E73" s="164" t="s">
        <v>96</v>
      </c>
      <c r="F73" s="184">
        <v>2695000</v>
      </c>
      <c r="G73" s="408" t="s">
        <v>23</v>
      </c>
      <c r="H73" s="408" t="s">
        <v>41</v>
      </c>
      <c r="I73" s="408">
        <v>1399</v>
      </c>
      <c r="J73" s="21" t="s">
        <v>25</v>
      </c>
      <c r="K73" s="275">
        <v>1</v>
      </c>
      <c r="L73" s="404" t="s">
        <v>947</v>
      </c>
      <c r="M73" s="783" t="s">
        <v>1116</v>
      </c>
      <c r="N73" s="406" t="s">
        <v>325</v>
      </c>
      <c r="O73" s="22" t="s">
        <v>960</v>
      </c>
      <c r="P73" s="404"/>
    </row>
    <row r="74" spans="1:16" ht="90">
      <c r="A74" s="589">
        <v>55</v>
      </c>
      <c r="B74" s="169" t="s">
        <v>745</v>
      </c>
      <c r="C74" s="169" t="s">
        <v>812</v>
      </c>
      <c r="D74" s="169" t="s">
        <v>40</v>
      </c>
      <c r="E74" s="164" t="s">
        <v>660</v>
      </c>
      <c r="F74" s="184">
        <f>9* 66000</f>
        <v>594000</v>
      </c>
      <c r="G74" s="408" t="s">
        <v>23</v>
      </c>
      <c r="H74" s="408" t="s">
        <v>41</v>
      </c>
      <c r="I74" s="408">
        <v>1399</v>
      </c>
      <c r="J74" s="21" t="s">
        <v>25</v>
      </c>
      <c r="K74" s="275">
        <v>1</v>
      </c>
      <c r="L74" s="404"/>
      <c r="M74" s="783" t="s">
        <v>1116</v>
      </c>
      <c r="N74" s="404"/>
      <c r="O74" s="404"/>
      <c r="P74" s="408"/>
    </row>
    <row r="75" spans="1:16" ht="90">
      <c r="A75" s="589">
        <v>56</v>
      </c>
      <c r="B75" s="169" t="s">
        <v>745</v>
      </c>
      <c r="C75" s="169" t="s">
        <v>812</v>
      </c>
      <c r="D75" s="169" t="s">
        <v>40</v>
      </c>
      <c r="E75" s="6" t="s">
        <v>658</v>
      </c>
      <c r="F75" s="184">
        <f>18*30000</f>
        <v>540000</v>
      </c>
      <c r="G75" s="408" t="s">
        <v>23</v>
      </c>
      <c r="H75" s="408" t="s">
        <v>41</v>
      </c>
      <c r="I75" s="408">
        <v>1399</v>
      </c>
      <c r="J75" s="21" t="s">
        <v>25</v>
      </c>
      <c r="K75" s="275">
        <v>1</v>
      </c>
      <c r="L75" s="404"/>
      <c r="M75" s="783" t="s">
        <v>1116</v>
      </c>
      <c r="N75" s="404"/>
      <c r="O75" s="404"/>
      <c r="P75" s="408"/>
    </row>
    <row r="76" spans="1:16" ht="72">
      <c r="A76" s="589">
        <v>57</v>
      </c>
      <c r="B76" s="169" t="s">
        <v>745</v>
      </c>
      <c r="C76" s="169" t="s">
        <v>812</v>
      </c>
      <c r="D76" s="405" t="s">
        <v>76</v>
      </c>
      <c r="E76" s="405" t="s">
        <v>749</v>
      </c>
      <c r="F76" s="185">
        <v>44082600</v>
      </c>
      <c r="G76" s="82" t="s">
        <v>23</v>
      </c>
      <c r="H76" s="407" t="s">
        <v>77</v>
      </c>
      <c r="I76" s="82">
        <v>1399</v>
      </c>
      <c r="J76" s="406" t="s">
        <v>25</v>
      </c>
      <c r="K76" s="275">
        <v>1</v>
      </c>
      <c r="L76" s="407"/>
      <c r="M76" s="689" t="s">
        <v>33</v>
      </c>
      <c r="N76" s="406"/>
      <c r="O76" s="185" t="s">
        <v>17</v>
      </c>
      <c r="P76" s="407"/>
    </row>
    <row r="77" spans="1:16" s="461" customFormat="1" ht="79.5" customHeight="1">
      <c r="A77" s="681">
        <v>58</v>
      </c>
      <c r="B77" s="85" t="s">
        <v>745</v>
      </c>
      <c r="C77" s="85"/>
      <c r="D77" s="440" t="s">
        <v>643</v>
      </c>
      <c r="E77" s="40" t="s">
        <v>1118</v>
      </c>
      <c r="F77" s="37">
        <v>4585000</v>
      </c>
      <c r="G77" s="440" t="s">
        <v>23</v>
      </c>
      <c r="H77" s="440" t="s">
        <v>747</v>
      </c>
      <c r="I77" s="440">
        <v>1399</v>
      </c>
      <c r="J77" s="86" t="s">
        <v>25</v>
      </c>
      <c r="K77" s="39" t="s">
        <v>17</v>
      </c>
      <c r="L77" s="635" t="s">
        <v>72</v>
      </c>
      <c r="M77" s="635"/>
      <c r="N77" s="667" t="s">
        <v>1870</v>
      </c>
      <c r="O77" s="667" t="s">
        <v>1871</v>
      </c>
      <c r="P77" s="635"/>
    </row>
    <row r="78" spans="1:16" s="461" customFormat="1" ht="75" customHeight="1">
      <c r="A78" s="681">
        <v>59</v>
      </c>
      <c r="B78" s="85" t="s">
        <v>745</v>
      </c>
      <c r="C78" s="85" t="s">
        <v>748</v>
      </c>
      <c r="D78" s="635" t="s">
        <v>643</v>
      </c>
      <c r="E78" s="40" t="s">
        <v>401</v>
      </c>
      <c r="F78" s="37">
        <v>4424000</v>
      </c>
      <c r="G78" s="440" t="s">
        <v>23</v>
      </c>
      <c r="H78" s="440" t="s">
        <v>747</v>
      </c>
      <c r="I78" s="440">
        <v>1399</v>
      </c>
      <c r="J78" s="86" t="s">
        <v>25</v>
      </c>
      <c r="K78" s="39" t="s">
        <v>17</v>
      </c>
      <c r="L78" s="635" t="s">
        <v>35</v>
      </c>
      <c r="M78" s="635"/>
      <c r="N78" s="667" t="s">
        <v>1119</v>
      </c>
      <c r="O78" s="667" t="s">
        <v>1120</v>
      </c>
      <c r="P78" s="635"/>
    </row>
    <row r="79" spans="1:16" s="461" customFormat="1" ht="87.6" customHeight="1">
      <c r="A79" s="681">
        <v>60</v>
      </c>
      <c r="B79" s="85" t="s">
        <v>745</v>
      </c>
      <c r="C79" s="85"/>
      <c r="D79" s="635" t="s">
        <v>643</v>
      </c>
      <c r="E79" s="40" t="s">
        <v>502</v>
      </c>
      <c r="F79" s="37">
        <v>1540000</v>
      </c>
      <c r="G79" s="440" t="s">
        <v>23</v>
      </c>
      <c r="H79" s="440" t="s">
        <v>747</v>
      </c>
      <c r="I79" s="440">
        <v>1399</v>
      </c>
      <c r="J79" s="86" t="s">
        <v>25</v>
      </c>
      <c r="K79" s="39" t="s">
        <v>17</v>
      </c>
      <c r="L79" s="635" t="s">
        <v>3</v>
      </c>
      <c r="M79" s="635"/>
      <c r="N79" s="22" t="s">
        <v>325</v>
      </c>
      <c r="O79" s="22" t="s">
        <v>56</v>
      </c>
      <c r="P79" s="635"/>
    </row>
    <row r="80" spans="1:16" s="461" customFormat="1" ht="55.5" customHeight="1">
      <c r="A80" s="681">
        <v>61</v>
      </c>
      <c r="B80" s="85" t="s">
        <v>745</v>
      </c>
      <c r="C80" s="85"/>
      <c r="D80" s="635" t="s">
        <v>643</v>
      </c>
      <c r="E80" s="40" t="s">
        <v>400</v>
      </c>
      <c r="F80" s="803" t="s">
        <v>399</v>
      </c>
      <c r="G80" s="440" t="s">
        <v>141</v>
      </c>
      <c r="H80" s="440" t="s">
        <v>747</v>
      </c>
      <c r="I80" s="440">
        <v>1399</v>
      </c>
      <c r="J80" s="86" t="s">
        <v>25</v>
      </c>
      <c r="K80" s="39"/>
      <c r="L80" s="635"/>
      <c r="M80" s="635" t="s">
        <v>42</v>
      </c>
      <c r="N80" s="635"/>
      <c r="O80" s="635"/>
      <c r="P80" s="794" t="s">
        <v>1872</v>
      </c>
    </row>
    <row r="81" spans="1:16" s="461" customFormat="1" ht="72">
      <c r="A81" s="681">
        <v>62</v>
      </c>
      <c r="B81" s="85" t="s">
        <v>745</v>
      </c>
      <c r="C81" s="85"/>
      <c r="D81" s="635" t="s">
        <v>643</v>
      </c>
      <c r="E81" s="40" t="s">
        <v>398</v>
      </c>
      <c r="F81" s="803"/>
      <c r="G81" s="440" t="s">
        <v>141</v>
      </c>
      <c r="H81" s="440" t="s">
        <v>747</v>
      </c>
      <c r="I81" s="440">
        <v>1399</v>
      </c>
      <c r="J81" s="86" t="s">
        <v>25</v>
      </c>
      <c r="K81" s="39">
        <v>0.1</v>
      </c>
      <c r="L81" s="91"/>
      <c r="M81" s="635" t="s">
        <v>42</v>
      </c>
      <c r="N81" s="635"/>
      <c r="O81" s="635"/>
      <c r="P81" s="795"/>
    </row>
    <row r="82" spans="1:16" s="461" customFormat="1" ht="72.599999999999994" customHeight="1">
      <c r="A82" s="681">
        <v>63</v>
      </c>
      <c r="B82" s="85" t="s">
        <v>745</v>
      </c>
      <c r="C82" s="85"/>
      <c r="D82" s="635" t="s">
        <v>643</v>
      </c>
      <c r="E82" s="40" t="s">
        <v>397</v>
      </c>
      <c r="F82" s="803"/>
      <c r="G82" s="440" t="s">
        <v>141</v>
      </c>
      <c r="H82" s="440" t="s">
        <v>747</v>
      </c>
      <c r="I82" s="440">
        <v>1399</v>
      </c>
      <c r="J82" s="86" t="s">
        <v>25</v>
      </c>
      <c r="K82" s="39">
        <v>0.05</v>
      </c>
      <c r="L82" s="91"/>
      <c r="M82" s="635" t="s">
        <v>42</v>
      </c>
      <c r="N82" s="635" t="s">
        <v>1875</v>
      </c>
      <c r="O82" s="635" t="s">
        <v>1874</v>
      </c>
      <c r="P82" s="667" t="s">
        <v>1136</v>
      </c>
    </row>
    <row r="83" spans="1:16" s="461" customFormat="1" ht="120">
      <c r="A83" s="681">
        <v>64</v>
      </c>
      <c r="B83" s="85" t="s">
        <v>745</v>
      </c>
      <c r="C83" s="85"/>
      <c r="D83" s="635" t="s">
        <v>643</v>
      </c>
      <c r="E83" s="40" t="s">
        <v>396</v>
      </c>
      <c r="F83" s="803"/>
      <c r="G83" s="440" t="s">
        <v>141</v>
      </c>
      <c r="H83" s="440" t="s">
        <v>747</v>
      </c>
      <c r="I83" s="440">
        <v>1399</v>
      </c>
      <c r="J83" s="86" t="s">
        <v>25</v>
      </c>
      <c r="K83" s="39">
        <v>0.08</v>
      </c>
      <c r="L83" s="91"/>
      <c r="M83" s="635" t="s">
        <v>42</v>
      </c>
      <c r="N83" s="635" t="s">
        <v>1875</v>
      </c>
      <c r="O83" s="635" t="s">
        <v>1874</v>
      </c>
      <c r="P83" s="667" t="s">
        <v>1873</v>
      </c>
    </row>
    <row r="84" spans="1:16" s="461" customFormat="1" ht="90">
      <c r="A84" s="681">
        <v>65</v>
      </c>
      <c r="B84" s="85" t="s">
        <v>745</v>
      </c>
      <c r="C84" s="85"/>
      <c r="D84" s="635" t="s">
        <v>643</v>
      </c>
      <c r="E84" s="40" t="s">
        <v>395</v>
      </c>
      <c r="F84" s="803"/>
      <c r="G84" s="440" t="s">
        <v>141</v>
      </c>
      <c r="H84" s="440" t="s">
        <v>747</v>
      </c>
      <c r="I84" s="440">
        <v>1399</v>
      </c>
      <c r="J84" s="86" t="s">
        <v>25</v>
      </c>
      <c r="K84" s="39">
        <v>0.05</v>
      </c>
      <c r="L84" s="91"/>
      <c r="M84" s="635" t="s">
        <v>42</v>
      </c>
      <c r="N84" s="635" t="s">
        <v>1875</v>
      </c>
      <c r="O84" s="635" t="s">
        <v>1874</v>
      </c>
      <c r="P84" s="660" t="s">
        <v>1136</v>
      </c>
    </row>
    <row r="85" spans="1:16" s="461" customFormat="1" ht="90">
      <c r="A85" s="681">
        <v>66</v>
      </c>
      <c r="B85" s="85" t="s">
        <v>745</v>
      </c>
      <c r="C85" s="85"/>
      <c r="D85" s="635" t="s">
        <v>643</v>
      </c>
      <c r="E85" s="40" t="s">
        <v>394</v>
      </c>
      <c r="F85" s="803"/>
      <c r="G85" s="440" t="s">
        <v>141</v>
      </c>
      <c r="H85" s="440" t="s">
        <v>747</v>
      </c>
      <c r="I85" s="440">
        <v>1399</v>
      </c>
      <c r="J85" s="86" t="s">
        <v>25</v>
      </c>
      <c r="K85" s="39">
        <v>0.05</v>
      </c>
      <c r="L85" s="91"/>
      <c r="M85" s="635" t="s">
        <v>42</v>
      </c>
      <c r="N85" s="635" t="s">
        <v>1875</v>
      </c>
      <c r="O85" s="635" t="s">
        <v>1874</v>
      </c>
      <c r="P85" s="660" t="s">
        <v>1136</v>
      </c>
    </row>
    <row r="86" spans="1:16" s="461" customFormat="1" ht="74.25" customHeight="1">
      <c r="A86" s="681">
        <v>67</v>
      </c>
      <c r="B86" s="169" t="s">
        <v>745</v>
      </c>
      <c r="C86" s="169" t="s">
        <v>645</v>
      </c>
      <c r="D86" s="635" t="s">
        <v>403</v>
      </c>
      <c r="E86" s="40" t="s">
        <v>746</v>
      </c>
      <c r="F86" s="37">
        <v>155000</v>
      </c>
      <c r="G86" s="440" t="s">
        <v>23</v>
      </c>
      <c r="H86" s="440" t="s">
        <v>77</v>
      </c>
      <c r="I86" s="440">
        <v>1399</v>
      </c>
      <c r="J86" s="458" t="s">
        <v>25</v>
      </c>
      <c r="K86" s="275">
        <v>1</v>
      </c>
      <c r="L86" s="299"/>
      <c r="M86" s="689" t="s">
        <v>384</v>
      </c>
      <c r="N86" s="91"/>
      <c r="O86" s="91"/>
      <c r="P86" s="719"/>
    </row>
    <row r="87" spans="1:16" s="461" customFormat="1" ht="88.5" customHeight="1">
      <c r="A87" s="681">
        <v>68</v>
      </c>
      <c r="B87" s="169" t="s">
        <v>745</v>
      </c>
      <c r="C87" s="169" t="s">
        <v>404</v>
      </c>
      <c r="D87" s="635" t="s">
        <v>403</v>
      </c>
      <c r="E87" s="40" t="s">
        <v>402</v>
      </c>
      <c r="F87" s="37">
        <v>240000</v>
      </c>
      <c r="G87" s="440" t="s">
        <v>23</v>
      </c>
      <c r="H87" s="440" t="s">
        <v>77</v>
      </c>
      <c r="I87" s="440">
        <v>1399</v>
      </c>
      <c r="J87" s="458" t="s">
        <v>25</v>
      </c>
      <c r="K87" s="275">
        <v>1</v>
      </c>
      <c r="L87" s="299"/>
      <c r="M87" s="689" t="s">
        <v>384</v>
      </c>
      <c r="N87" s="91"/>
      <c r="O87" s="91"/>
      <c r="P87" s="719"/>
    </row>
    <row r="88" spans="1:16" s="552" customFormat="1" ht="63.6" customHeight="1">
      <c r="A88" s="681">
        <v>69</v>
      </c>
      <c r="B88" s="169" t="s">
        <v>745</v>
      </c>
      <c r="C88" s="169"/>
      <c r="D88" s="231" t="s">
        <v>130</v>
      </c>
      <c r="E88" s="40" t="s">
        <v>142</v>
      </c>
      <c r="F88" s="37">
        <v>1282840</v>
      </c>
      <c r="G88" s="440" t="s">
        <v>23</v>
      </c>
      <c r="H88" s="440" t="s">
        <v>77</v>
      </c>
      <c r="I88" s="440">
        <v>1399</v>
      </c>
      <c r="J88" s="551" t="s">
        <v>25</v>
      </c>
      <c r="K88" s="39"/>
      <c r="L88" s="550" t="s">
        <v>72</v>
      </c>
      <c r="M88" s="550"/>
      <c r="N88" s="22" t="s">
        <v>581</v>
      </c>
      <c r="O88" s="22" t="s">
        <v>1827</v>
      </c>
      <c r="P88" s="440"/>
    </row>
    <row r="89" spans="1:16" s="552" customFormat="1" ht="66" customHeight="1">
      <c r="A89" s="681">
        <v>70</v>
      </c>
      <c r="B89" s="169" t="s">
        <v>745</v>
      </c>
      <c r="C89" s="169"/>
      <c r="D89" s="231" t="s">
        <v>130</v>
      </c>
      <c r="E89" s="40" t="s">
        <v>143</v>
      </c>
      <c r="F89" s="37">
        <v>508729</v>
      </c>
      <c r="G89" s="440" t="s">
        <v>23</v>
      </c>
      <c r="H89" s="440" t="s">
        <v>77</v>
      </c>
      <c r="I89" s="440">
        <v>1399</v>
      </c>
      <c r="J89" s="551" t="s">
        <v>25</v>
      </c>
      <c r="K89" s="39"/>
      <c r="L89" s="550" t="s">
        <v>72</v>
      </c>
      <c r="M89" s="550"/>
      <c r="N89" s="22" t="s">
        <v>581</v>
      </c>
      <c r="O89" s="22" t="s">
        <v>1827</v>
      </c>
      <c r="P89" s="440"/>
    </row>
  </sheetData>
  <mergeCells count="20">
    <mergeCell ref="F11:F18"/>
    <mergeCell ref="P14:P15"/>
    <mergeCell ref="F80:F85"/>
    <mergeCell ref="F20:F26"/>
    <mergeCell ref="P23:P24"/>
    <mergeCell ref="P80:P81"/>
    <mergeCell ref="A1:P4"/>
    <mergeCell ref="A5:A6"/>
    <mergeCell ref="B5:B6"/>
    <mergeCell ref="C5:C6"/>
    <mergeCell ref="D5:D6"/>
    <mergeCell ref="E5:E6"/>
    <mergeCell ref="F5:H5"/>
    <mergeCell ref="I5:I6"/>
    <mergeCell ref="J5:J6"/>
    <mergeCell ref="K5:K6"/>
    <mergeCell ref="L5:M5"/>
    <mergeCell ref="N5:N6"/>
    <mergeCell ref="O5:O6"/>
    <mergeCell ref="P5:P6"/>
  </mergeCells>
  <pageMargins left="0.7" right="0.7" top="0.75" bottom="0.75" header="0.3" footer="0.3"/>
  <pageSetup scale="62"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Q103"/>
  <sheetViews>
    <sheetView rightToLeft="1" view="pageBreakPreview" zoomScale="89" zoomScaleSheetLayoutView="89" workbookViewId="0">
      <pane ySplit="29" topLeftCell="A30" activePane="bottomLeft" state="frozen"/>
      <selection pane="bottomLeft" activeCell="K102" sqref="K102"/>
    </sheetView>
  </sheetViews>
  <sheetFormatPr defaultColWidth="9.140625" defaultRowHeight="15"/>
  <cols>
    <col min="1" max="1" width="6.7109375" style="1" customWidth="1"/>
    <col min="2" max="2" width="15.5703125" style="10" customWidth="1"/>
    <col min="3" max="3" width="8.5703125" style="10" customWidth="1"/>
    <col min="4" max="4" width="12.42578125" style="10" customWidth="1"/>
    <col min="5" max="5" width="31.85546875" style="10" customWidth="1"/>
    <col min="6" max="6" width="17.7109375" style="2" customWidth="1"/>
    <col min="7" max="7" width="9.7109375" style="3" customWidth="1"/>
    <col min="8" max="8" width="14" style="2" customWidth="1"/>
    <col min="9" max="9" width="11.42578125" style="1" customWidth="1"/>
    <col min="10" max="10" width="13" style="1" customWidth="1"/>
    <col min="11" max="11" width="14.7109375" style="1" customWidth="1"/>
    <col min="12" max="12" width="9.140625" style="9" customWidth="1"/>
    <col min="13" max="13" width="13" style="9" customWidth="1"/>
    <col min="14" max="14" width="20.140625" style="9" customWidth="1"/>
    <col min="15" max="15" width="13.85546875" style="9" customWidth="1"/>
    <col min="16" max="16" width="18" style="319" customWidth="1"/>
    <col min="17" max="16384" width="9.140625" style="319"/>
  </cols>
  <sheetData>
    <row r="1" spans="1:16">
      <c r="A1" s="788" t="s">
        <v>1803</v>
      </c>
      <c r="B1" s="789"/>
      <c r="C1" s="789"/>
      <c r="D1" s="789"/>
      <c r="E1" s="789"/>
      <c r="F1" s="789"/>
      <c r="G1" s="789"/>
      <c r="H1" s="789"/>
      <c r="I1" s="789"/>
      <c r="J1" s="789"/>
      <c r="K1" s="789"/>
      <c r="L1" s="789"/>
      <c r="M1" s="789"/>
      <c r="N1" s="789"/>
      <c r="O1" s="789"/>
      <c r="P1" s="789"/>
    </row>
    <row r="2" spans="1:16">
      <c r="A2" s="789"/>
      <c r="B2" s="789"/>
      <c r="C2" s="789"/>
      <c r="D2" s="789"/>
      <c r="E2" s="789"/>
      <c r="F2" s="789"/>
      <c r="G2" s="789"/>
      <c r="H2" s="789"/>
      <c r="I2" s="789"/>
      <c r="J2" s="789"/>
      <c r="K2" s="789"/>
      <c r="L2" s="789"/>
      <c r="M2" s="789"/>
      <c r="N2" s="789"/>
      <c r="O2" s="789"/>
      <c r="P2" s="789"/>
    </row>
    <row r="3" spans="1:16">
      <c r="A3" s="789"/>
      <c r="B3" s="789"/>
      <c r="C3" s="789"/>
      <c r="D3" s="789"/>
      <c r="E3" s="789"/>
      <c r="F3" s="789"/>
      <c r="G3" s="789"/>
      <c r="H3" s="789"/>
      <c r="I3" s="789"/>
      <c r="J3" s="789"/>
      <c r="K3" s="789"/>
      <c r="L3" s="789"/>
      <c r="M3" s="789"/>
      <c r="N3" s="789"/>
      <c r="O3" s="789"/>
      <c r="P3" s="789"/>
    </row>
    <row r="4" spans="1:16" ht="28.5" customHeight="1">
      <c r="A4" s="790"/>
      <c r="B4" s="790"/>
      <c r="C4" s="790"/>
      <c r="D4" s="790"/>
      <c r="E4" s="790"/>
      <c r="F4" s="790"/>
      <c r="G4" s="790"/>
      <c r="H4" s="790"/>
      <c r="I4" s="790"/>
      <c r="J4" s="790"/>
      <c r="K4" s="790"/>
      <c r="L4" s="790"/>
      <c r="M4" s="790"/>
      <c r="N4" s="790"/>
      <c r="O4" s="790"/>
      <c r="P4" s="790"/>
    </row>
    <row r="5" spans="1:16" ht="25.9" customHeight="1">
      <c r="A5" s="791" t="s">
        <v>0</v>
      </c>
      <c r="B5" s="791" t="s">
        <v>14</v>
      </c>
      <c r="C5" s="791" t="s">
        <v>18</v>
      </c>
      <c r="D5" s="791" t="s">
        <v>1</v>
      </c>
      <c r="E5" s="791" t="s">
        <v>15</v>
      </c>
      <c r="F5" s="791" t="s">
        <v>9</v>
      </c>
      <c r="G5" s="791"/>
      <c r="H5" s="791"/>
      <c r="I5" s="791" t="s">
        <v>7</v>
      </c>
      <c r="J5" s="791" t="s">
        <v>6</v>
      </c>
      <c r="K5" s="791" t="s">
        <v>16</v>
      </c>
      <c r="L5" s="791" t="s">
        <v>2</v>
      </c>
      <c r="M5" s="791"/>
      <c r="N5" s="791" t="s">
        <v>5</v>
      </c>
      <c r="O5" s="791" t="s">
        <v>13</v>
      </c>
      <c r="P5" s="791" t="s">
        <v>8</v>
      </c>
    </row>
    <row r="6" spans="1:16" ht="39.6" customHeight="1">
      <c r="A6" s="791"/>
      <c r="B6" s="791"/>
      <c r="C6" s="791"/>
      <c r="D6" s="791"/>
      <c r="E6" s="791"/>
      <c r="F6" s="320" t="s">
        <v>10</v>
      </c>
      <c r="G6" s="320" t="s">
        <v>11</v>
      </c>
      <c r="H6" s="320" t="s">
        <v>12</v>
      </c>
      <c r="I6" s="791"/>
      <c r="J6" s="791"/>
      <c r="K6" s="791"/>
      <c r="L6" s="320" t="s">
        <v>3</v>
      </c>
      <c r="M6" s="320" t="s">
        <v>4</v>
      </c>
      <c r="N6" s="791"/>
      <c r="O6" s="791"/>
      <c r="P6" s="791"/>
    </row>
    <row r="7" spans="1:16" s="5" customFormat="1" ht="33.6" hidden="1" customHeight="1">
      <c r="A7" s="285">
        <v>1</v>
      </c>
      <c r="B7" s="237" t="s">
        <v>20</v>
      </c>
      <c r="C7" s="6" t="s">
        <v>934</v>
      </c>
      <c r="D7" s="40" t="s">
        <v>320</v>
      </c>
      <c r="E7" s="40" t="s">
        <v>632</v>
      </c>
      <c r="F7" s="37">
        <v>467333</v>
      </c>
      <c r="G7" s="327" t="s">
        <v>23</v>
      </c>
      <c r="H7" s="327" t="s">
        <v>77</v>
      </c>
      <c r="I7" s="327">
        <v>1399</v>
      </c>
      <c r="J7" s="21" t="s">
        <v>899</v>
      </c>
      <c r="K7" s="336">
        <v>1</v>
      </c>
      <c r="L7" s="232"/>
      <c r="M7" s="323" t="s">
        <v>329</v>
      </c>
      <c r="N7" s="232"/>
      <c r="O7" s="232"/>
      <c r="P7" s="179"/>
    </row>
    <row r="8" spans="1:16" s="5" customFormat="1" ht="33.6" hidden="1" customHeight="1">
      <c r="A8" s="285">
        <v>2</v>
      </c>
      <c r="B8" s="237" t="s">
        <v>20</v>
      </c>
      <c r="C8" s="6" t="s">
        <v>933</v>
      </c>
      <c r="D8" s="40" t="s">
        <v>320</v>
      </c>
      <c r="E8" s="40" t="s">
        <v>932</v>
      </c>
      <c r="F8" s="37">
        <v>150000</v>
      </c>
      <c r="G8" s="327" t="s">
        <v>23</v>
      </c>
      <c r="H8" s="327" t="s">
        <v>77</v>
      </c>
      <c r="I8" s="327">
        <v>1399</v>
      </c>
      <c r="J8" s="21" t="s">
        <v>899</v>
      </c>
      <c r="K8" s="336">
        <v>1</v>
      </c>
      <c r="L8" s="232"/>
      <c r="M8" s="323" t="s">
        <v>329</v>
      </c>
      <c r="N8" s="232"/>
      <c r="O8" s="232"/>
      <c r="P8" s="179"/>
    </row>
    <row r="9" spans="1:16" s="5" customFormat="1" ht="60.75" hidden="1" customHeight="1">
      <c r="A9" s="285">
        <v>3</v>
      </c>
      <c r="B9" s="237" t="s">
        <v>20</v>
      </c>
      <c r="C9" s="6"/>
      <c r="D9" s="40" t="s">
        <v>320</v>
      </c>
      <c r="E9" s="40" t="s">
        <v>321</v>
      </c>
      <c r="F9" s="37">
        <v>123000</v>
      </c>
      <c r="G9" s="327" t="s">
        <v>23</v>
      </c>
      <c r="H9" s="327" t="s">
        <v>77</v>
      </c>
      <c r="I9" s="327">
        <v>1399</v>
      </c>
      <c r="J9" s="21" t="s">
        <v>899</v>
      </c>
      <c r="K9" s="336">
        <v>0.7</v>
      </c>
      <c r="L9" s="232"/>
      <c r="M9" s="323" t="s">
        <v>42</v>
      </c>
      <c r="N9" s="232"/>
      <c r="O9" s="232"/>
      <c r="P9" s="179"/>
    </row>
    <row r="10" spans="1:16" s="5" customFormat="1" ht="72" hidden="1" customHeight="1">
      <c r="A10" s="285">
        <v>4</v>
      </c>
      <c r="B10" s="237" t="s">
        <v>20</v>
      </c>
      <c r="C10" s="6"/>
      <c r="D10" s="40" t="s">
        <v>320</v>
      </c>
      <c r="E10" s="40" t="s">
        <v>931</v>
      </c>
      <c r="F10" s="37">
        <v>412000</v>
      </c>
      <c r="G10" s="327" t="s">
        <v>23</v>
      </c>
      <c r="H10" s="327" t="s">
        <v>77</v>
      </c>
      <c r="I10" s="327">
        <v>1399</v>
      </c>
      <c r="J10" s="21" t="s">
        <v>899</v>
      </c>
      <c r="K10" s="336">
        <v>0.7</v>
      </c>
      <c r="L10" s="232"/>
      <c r="M10" s="323" t="s">
        <v>42</v>
      </c>
      <c r="N10" s="232"/>
      <c r="O10" s="232"/>
      <c r="P10" s="179"/>
    </row>
    <row r="11" spans="1:16" s="5" customFormat="1" ht="72" hidden="1">
      <c r="A11" s="285">
        <v>5</v>
      </c>
      <c r="B11" s="237" t="s">
        <v>20</v>
      </c>
      <c r="C11" s="6"/>
      <c r="D11" s="40" t="s">
        <v>320</v>
      </c>
      <c r="E11" s="40" t="s">
        <v>930</v>
      </c>
      <c r="F11" s="37">
        <v>2314400</v>
      </c>
      <c r="G11" s="327" t="s">
        <v>23</v>
      </c>
      <c r="H11" s="327" t="s">
        <v>77</v>
      </c>
      <c r="I11" s="327">
        <v>1399</v>
      </c>
      <c r="J11" s="21" t="s">
        <v>899</v>
      </c>
      <c r="K11" s="336">
        <v>0.7</v>
      </c>
      <c r="L11" s="232"/>
      <c r="M11" s="323" t="s">
        <v>42</v>
      </c>
      <c r="N11" s="232"/>
      <c r="O11" s="232"/>
      <c r="P11" s="179"/>
    </row>
    <row r="12" spans="1:16" s="5" customFormat="1" ht="72" hidden="1">
      <c r="A12" s="285">
        <v>6</v>
      </c>
      <c r="B12" s="237" t="s">
        <v>20</v>
      </c>
      <c r="C12" s="6"/>
      <c r="D12" s="40" t="s">
        <v>320</v>
      </c>
      <c r="E12" s="40" t="s">
        <v>929</v>
      </c>
      <c r="F12" s="37">
        <v>1000000</v>
      </c>
      <c r="G12" s="327" t="s">
        <v>23</v>
      </c>
      <c r="H12" s="327" t="s">
        <v>77</v>
      </c>
      <c r="I12" s="327">
        <v>1399</v>
      </c>
      <c r="J12" s="21" t="s">
        <v>899</v>
      </c>
      <c r="K12" s="336">
        <v>0.7</v>
      </c>
      <c r="L12" s="232"/>
      <c r="M12" s="323" t="s">
        <v>42</v>
      </c>
      <c r="N12" s="232"/>
      <c r="O12" s="232"/>
      <c r="P12" s="179"/>
    </row>
    <row r="13" spans="1:16" s="5" customFormat="1" ht="72" hidden="1">
      <c r="A13" s="285">
        <v>7</v>
      </c>
      <c r="B13" s="237" t="s">
        <v>20</v>
      </c>
      <c r="C13" s="6"/>
      <c r="D13" s="40" t="s">
        <v>320</v>
      </c>
      <c r="E13" s="40" t="s">
        <v>928</v>
      </c>
      <c r="F13" s="37">
        <v>2578800</v>
      </c>
      <c r="G13" s="327" t="s">
        <v>23</v>
      </c>
      <c r="H13" s="327" t="s">
        <v>77</v>
      </c>
      <c r="I13" s="327">
        <v>1399</v>
      </c>
      <c r="J13" s="21" t="s">
        <v>899</v>
      </c>
      <c r="K13" s="336">
        <v>0.7</v>
      </c>
      <c r="L13" s="232"/>
      <c r="M13" s="323" t="s">
        <v>42</v>
      </c>
      <c r="N13" s="232"/>
      <c r="O13" s="232"/>
      <c r="P13" s="179"/>
    </row>
    <row r="14" spans="1:16" s="5" customFormat="1" ht="72" hidden="1">
      <c r="A14" s="285">
        <v>8</v>
      </c>
      <c r="B14" s="237" t="s">
        <v>20</v>
      </c>
      <c r="C14" s="6"/>
      <c r="D14" s="40" t="s">
        <v>320</v>
      </c>
      <c r="E14" s="40" t="s">
        <v>322</v>
      </c>
      <c r="F14" s="37">
        <v>72000</v>
      </c>
      <c r="G14" s="327" t="s">
        <v>23</v>
      </c>
      <c r="H14" s="327" t="s">
        <v>77</v>
      </c>
      <c r="I14" s="327">
        <v>1399</v>
      </c>
      <c r="J14" s="21" t="s">
        <v>899</v>
      </c>
      <c r="K14" s="336">
        <v>0.8</v>
      </c>
      <c r="L14" s="232"/>
      <c r="M14" s="323" t="s">
        <v>42</v>
      </c>
      <c r="N14" s="232"/>
      <c r="O14" s="232"/>
      <c r="P14" s="179"/>
    </row>
    <row r="15" spans="1:16" ht="61.5" hidden="1" customHeight="1">
      <c r="A15" s="285">
        <v>9</v>
      </c>
      <c r="B15" s="237" t="s">
        <v>20</v>
      </c>
      <c r="C15" s="341" t="s">
        <v>911</v>
      </c>
      <c r="D15" s="196" t="s">
        <v>578</v>
      </c>
      <c r="E15" s="40" t="s">
        <v>927</v>
      </c>
      <c r="F15" s="37">
        <v>23805718</v>
      </c>
      <c r="G15" s="327" t="s">
        <v>23</v>
      </c>
      <c r="H15" s="327" t="s">
        <v>393</v>
      </c>
      <c r="I15" s="327">
        <v>1399</v>
      </c>
      <c r="J15" s="21" t="s">
        <v>899</v>
      </c>
      <c r="K15" s="48">
        <v>1</v>
      </c>
      <c r="L15" s="196"/>
      <c r="M15" s="323" t="s">
        <v>370</v>
      </c>
      <c r="N15" s="196"/>
      <c r="O15" s="196"/>
      <c r="P15" s="324"/>
    </row>
    <row r="16" spans="1:16" ht="61.5" hidden="1" customHeight="1">
      <c r="A16" s="285">
        <v>10</v>
      </c>
      <c r="B16" s="237" t="s">
        <v>20</v>
      </c>
      <c r="C16" s="326" t="s">
        <v>926</v>
      </c>
      <c r="D16" s="196" t="s">
        <v>578</v>
      </c>
      <c r="E16" s="40" t="s">
        <v>925</v>
      </c>
      <c r="F16" s="37">
        <v>44325000</v>
      </c>
      <c r="G16" s="327" t="s">
        <v>23</v>
      </c>
      <c r="H16" s="327" t="s">
        <v>393</v>
      </c>
      <c r="I16" s="327">
        <v>1399</v>
      </c>
      <c r="J16" s="21" t="s">
        <v>899</v>
      </c>
      <c r="K16" s="48">
        <v>0</v>
      </c>
      <c r="L16" s="196"/>
      <c r="M16" s="22" t="s">
        <v>81</v>
      </c>
      <c r="N16" s="196"/>
      <c r="O16" s="196"/>
      <c r="P16" s="324"/>
    </row>
    <row r="17" spans="1:16" ht="61.5" hidden="1" customHeight="1">
      <c r="A17" s="285">
        <v>11</v>
      </c>
      <c r="B17" s="237" t="s">
        <v>20</v>
      </c>
      <c r="C17" s="196" t="s">
        <v>911</v>
      </c>
      <c r="D17" s="196" t="s">
        <v>578</v>
      </c>
      <c r="E17" s="40" t="s">
        <v>924</v>
      </c>
      <c r="F17" s="37">
        <v>119201588</v>
      </c>
      <c r="G17" s="327" t="s">
        <v>23</v>
      </c>
      <c r="H17" s="327" t="s">
        <v>393</v>
      </c>
      <c r="I17" s="327">
        <v>1399</v>
      </c>
      <c r="J17" s="21" t="s">
        <v>899</v>
      </c>
      <c r="K17" s="48">
        <v>0</v>
      </c>
      <c r="L17" s="196"/>
      <c r="M17" s="22" t="s">
        <v>81</v>
      </c>
      <c r="N17" s="196"/>
      <c r="O17" s="196"/>
      <c r="P17" s="324"/>
    </row>
    <row r="18" spans="1:16" ht="61.5" hidden="1" customHeight="1">
      <c r="A18" s="285">
        <v>12</v>
      </c>
      <c r="B18" s="237" t="s">
        <v>20</v>
      </c>
      <c r="C18" s="196" t="s">
        <v>911</v>
      </c>
      <c r="D18" s="196" t="s">
        <v>578</v>
      </c>
      <c r="E18" s="40" t="s">
        <v>923</v>
      </c>
      <c r="F18" s="37">
        <v>7578880</v>
      </c>
      <c r="G18" s="327" t="s">
        <v>23</v>
      </c>
      <c r="H18" s="327" t="s">
        <v>393</v>
      </c>
      <c r="I18" s="327">
        <v>1399</v>
      </c>
      <c r="J18" s="21" t="s">
        <v>899</v>
      </c>
      <c r="K18" s="48">
        <v>1</v>
      </c>
      <c r="L18" s="196"/>
      <c r="M18" s="22" t="s">
        <v>370</v>
      </c>
      <c r="N18" s="196"/>
      <c r="O18" s="196"/>
      <c r="P18" s="324"/>
    </row>
    <row r="19" spans="1:16" ht="61.5" hidden="1" customHeight="1">
      <c r="A19" s="285">
        <v>13</v>
      </c>
      <c r="B19" s="237" t="s">
        <v>20</v>
      </c>
      <c r="C19" s="196" t="s">
        <v>922</v>
      </c>
      <c r="D19" s="196" t="s">
        <v>578</v>
      </c>
      <c r="E19" s="40" t="s">
        <v>921</v>
      </c>
      <c r="F19" s="37">
        <v>7263343</v>
      </c>
      <c r="G19" s="327" t="s">
        <v>23</v>
      </c>
      <c r="H19" s="327" t="s">
        <v>393</v>
      </c>
      <c r="I19" s="327">
        <v>1399</v>
      </c>
      <c r="J19" s="21" t="s">
        <v>899</v>
      </c>
      <c r="K19" s="48">
        <v>1</v>
      </c>
      <c r="L19" s="196"/>
      <c r="M19" s="22" t="s">
        <v>370</v>
      </c>
      <c r="N19" s="196"/>
      <c r="O19" s="196"/>
      <c r="P19" s="324"/>
    </row>
    <row r="20" spans="1:16" ht="61.5" hidden="1" customHeight="1">
      <c r="A20" s="285">
        <v>14</v>
      </c>
      <c r="B20" s="237" t="s">
        <v>20</v>
      </c>
      <c r="C20" s="196" t="s">
        <v>918</v>
      </c>
      <c r="D20" s="196" t="s">
        <v>578</v>
      </c>
      <c r="E20" s="40" t="s">
        <v>920</v>
      </c>
      <c r="F20" s="37">
        <v>7271442</v>
      </c>
      <c r="G20" s="327" t="s">
        <v>23</v>
      </c>
      <c r="H20" s="327" t="s">
        <v>393</v>
      </c>
      <c r="I20" s="327">
        <v>1399</v>
      </c>
      <c r="J20" s="21" t="s">
        <v>899</v>
      </c>
      <c r="K20" s="48">
        <v>1</v>
      </c>
      <c r="L20" s="196"/>
      <c r="M20" s="22" t="s">
        <v>370</v>
      </c>
      <c r="N20" s="196"/>
      <c r="O20" s="196"/>
      <c r="P20" s="324"/>
    </row>
    <row r="21" spans="1:16" ht="54" hidden="1">
      <c r="A21" s="285">
        <v>15</v>
      </c>
      <c r="B21" s="237" t="s">
        <v>20</v>
      </c>
      <c r="C21" s="196" t="s">
        <v>911</v>
      </c>
      <c r="D21" s="196" t="s">
        <v>578</v>
      </c>
      <c r="E21" s="40" t="s">
        <v>919</v>
      </c>
      <c r="F21" s="37">
        <v>7241320</v>
      </c>
      <c r="G21" s="327" t="s">
        <v>23</v>
      </c>
      <c r="H21" s="327" t="s">
        <v>393</v>
      </c>
      <c r="I21" s="327">
        <v>1399</v>
      </c>
      <c r="J21" s="21" t="s">
        <v>899</v>
      </c>
      <c r="K21" s="48">
        <v>1</v>
      </c>
      <c r="L21" s="196"/>
      <c r="M21" s="22" t="s">
        <v>370</v>
      </c>
      <c r="N21" s="196"/>
      <c r="O21" s="196"/>
      <c r="P21" s="324"/>
    </row>
    <row r="22" spans="1:16" ht="60" hidden="1" customHeight="1">
      <c r="A22" s="285">
        <v>16</v>
      </c>
      <c r="B22" s="237" t="s">
        <v>20</v>
      </c>
      <c r="C22" s="196" t="s">
        <v>918</v>
      </c>
      <c r="D22" s="196" t="s">
        <v>578</v>
      </c>
      <c r="E22" s="40" t="s">
        <v>917</v>
      </c>
      <c r="F22" s="37">
        <v>7285426</v>
      </c>
      <c r="G22" s="327" t="s">
        <v>23</v>
      </c>
      <c r="H22" s="327" t="s">
        <v>393</v>
      </c>
      <c r="I22" s="327">
        <v>1399</v>
      </c>
      <c r="J22" s="21" t="s">
        <v>899</v>
      </c>
      <c r="K22" s="48">
        <v>1</v>
      </c>
      <c r="L22" s="196"/>
      <c r="M22" s="22" t="s">
        <v>370</v>
      </c>
      <c r="N22" s="196"/>
      <c r="O22" s="196"/>
      <c r="P22" s="324"/>
    </row>
    <row r="23" spans="1:16" ht="54" hidden="1">
      <c r="A23" s="285">
        <v>17</v>
      </c>
      <c r="B23" s="237" t="s">
        <v>20</v>
      </c>
      <c r="C23" s="196" t="s">
        <v>911</v>
      </c>
      <c r="D23" s="196" t="s">
        <v>578</v>
      </c>
      <c r="E23" s="40" t="s">
        <v>916</v>
      </c>
      <c r="F23" s="37">
        <v>7578880</v>
      </c>
      <c r="G23" s="327" t="s">
        <v>23</v>
      </c>
      <c r="H23" s="327" t="s">
        <v>393</v>
      </c>
      <c r="I23" s="327">
        <v>1399</v>
      </c>
      <c r="J23" s="21" t="s">
        <v>899</v>
      </c>
      <c r="K23" s="48">
        <v>0.3</v>
      </c>
      <c r="L23" s="196"/>
      <c r="M23" s="22" t="s">
        <v>42</v>
      </c>
      <c r="N23" s="196"/>
      <c r="O23" s="196"/>
      <c r="P23" s="324"/>
    </row>
    <row r="24" spans="1:16" ht="70.5" hidden="1" customHeight="1">
      <c r="A24" s="285">
        <v>18</v>
      </c>
      <c r="B24" s="237" t="s">
        <v>20</v>
      </c>
      <c r="C24" s="196" t="s">
        <v>911</v>
      </c>
      <c r="D24" s="196" t="s">
        <v>578</v>
      </c>
      <c r="E24" s="40" t="s">
        <v>915</v>
      </c>
      <c r="F24" s="37">
        <v>6841163</v>
      </c>
      <c r="G24" s="327" t="s">
        <v>23</v>
      </c>
      <c r="H24" s="327" t="s">
        <v>393</v>
      </c>
      <c r="I24" s="327">
        <v>1399</v>
      </c>
      <c r="J24" s="21" t="s">
        <v>899</v>
      </c>
      <c r="K24" s="48">
        <v>0.95</v>
      </c>
      <c r="L24" s="196"/>
      <c r="M24" s="22" t="s">
        <v>42</v>
      </c>
      <c r="N24" s="196"/>
      <c r="O24" s="196"/>
      <c r="P24" s="324"/>
    </row>
    <row r="25" spans="1:16" ht="54" hidden="1">
      <c r="A25" s="285">
        <v>19</v>
      </c>
      <c r="B25" s="237" t="s">
        <v>20</v>
      </c>
      <c r="C25" s="196" t="s">
        <v>911</v>
      </c>
      <c r="D25" s="196" t="s">
        <v>578</v>
      </c>
      <c r="E25" s="40" t="s">
        <v>914</v>
      </c>
      <c r="F25" s="37">
        <v>6898753</v>
      </c>
      <c r="G25" s="327" t="s">
        <v>23</v>
      </c>
      <c r="H25" s="327" t="s">
        <v>393</v>
      </c>
      <c r="I25" s="327">
        <v>1399</v>
      </c>
      <c r="J25" s="21" t="s">
        <v>899</v>
      </c>
      <c r="K25" s="48">
        <v>0.95</v>
      </c>
      <c r="L25" s="196"/>
      <c r="M25" s="22" t="s">
        <v>42</v>
      </c>
      <c r="N25" s="196"/>
      <c r="O25" s="196"/>
      <c r="P25" s="324"/>
    </row>
    <row r="26" spans="1:16" ht="54" hidden="1">
      <c r="A26" s="285">
        <v>20</v>
      </c>
      <c r="B26" s="237" t="s">
        <v>20</v>
      </c>
      <c r="C26" s="196" t="s">
        <v>913</v>
      </c>
      <c r="D26" s="196" t="s">
        <v>578</v>
      </c>
      <c r="E26" s="40" t="s">
        <v>912</v>
      </c>
      <c r="F26" s="37">
        <v>6882858</v>
      </c>
      <c r="G26" s="327" t="s">
        <v>23</v>
      </c>
      <c r="H26" s="327" t="s">
        <v>393</v>
      </c>
      <c r="I26" s="327">
        <v>1399</v>
      </c>
      <c r="J26" s="21" t="s">
        <v>899</v>
      </c>
      <c r="K26" s="48">
        <v>0.95</v>
      </c>
      <c r="L26" s="196"/>
      <c r="M26" s="22" t="s">
        <v>42</v>
      </c>
      <c r="N26" s="196"/>
      <c r="O26" s="196"/>
      <c r="P26" s="324"/>
    </row>
    <row r="27" spans="1:16" ht="54" hidden="1">
      <c r="A27" s="285">
        <v>21</v>
      </c>
      <c r="B27" s="237" t="s">
        <v>20</v>
      </c>
      <c r="C27" s="196" t="s">
        <v>911</v>
      </c>
      <c r="D27" s="196" t="s">
        <v>578</v>
      </c>
      <c r="E27" s="40" t="s">
        <v>910</v>
      </c>
      <c r="F27" s="37">
        <v>6986569</v>
      </c>
      <c r="G27" s="327" t="s">
        <v>23</v>
      </c>
      <c r="H27" s="327" t="s">
        <v>393</v>
      </c>
      <c r="I27" s="327">
        <v>1399</v>
      </c>
      <c r="J27" s="21" t="s">
        <v>25</v>
      </c>
      <c r="K27" s="48">
        <v>0</v>
      </c>
      <c r="L27" s="196"/>
      <c r="M27" s="22" t="s">
        <v>100</v>
      </c>
      <c r="N27" s="196"/>
      <c r="O27" s="196"/>
      <c r="P27" s="324"/>
    </row>
    <row r="28" spans="1:16" ht="50.25" hidden="1" customHeight="1">
      <c r="A28" s="285">
        <v>22</v>
      </c>
      <c r="B28" s="237" t="s">
        <v>20</v>
      </c>
      <c r="C28" s="196" t="s">
        <v>909</v>
      </c>
      <c r="D28" s="196" t="s">
        <v>578</v>
      </c>
      <c r="E28" s="40" t="s">
        <v>908</v>
      </c>
      <c r="F28" s="37">
        <v>7144554</v>
      </c>
      <c r="G28" s="327" t="s">
        <v>23</v>
      </c>
      <c r="H28" s="327" t="s">
        <v>393</v>
      </c>
      <c r="I28" s="327">
        <v>1399</v>
      </c>
      <c r="J28" s="21" t="s">
        <v>25</v>
      </c>
      <c r="K28" s="48">
        <v>0</v>
      </c>
      <c r="L28" s="196"/>
      <c r="M28" s="22" t="s">
        <v>100</v>
      </c>
      <c r="N28" s="196"/>
      <c r="O28" s="196"/>
      <c r="P28" s="324"/>
    </row>
    <row r="29" spans="1:16" ht="54" hidden="1">
      <c r="A29" s="285">
        <v>23</v>
      </c>
      <c r="B29" s="237" t="s">
        <v>20</v>
      </c>
      <c r="C29" s="196" t="s">
        <v>907</v>
      </c>
      <c r="D29" s="196" t="s">
        <v>578</v>
      </c>
      <c r="E29" s="40" t="s">
        <v>906</v>
      </c>
      <c r="F29" s="37">
        <v>6989020</v>
      </c>
      <c r="G29" s="327" t="s">
        <v>23</v>
      </c>
      <c r="H29" s="327" t="s">
        <v>393</v>
      </c>
      <c r="I29" s="327">
        <v>1399</v>
      </c>
      <c r="J29" s="21" t="s">
        <v>25</v>
      </c>
      <c r="K29" s="48">
        <v>0</v>
      </c>
      <c r="L29" s="196"/>
      <c r="M29" s="22" t="s">
        <v>100</v>
      </c>
      <c r="N29" s="196"/>
      <c r="O29" s="196"/>
      <c r="P29" s="324"/>
    </row>
    <row r="30" spans="1:16" s="5" customFormat="1" ht="33.6" customHeight="1">
      <c r="A30" s="285">
        <v>1</v>
      </c>
      <c r="B30" s="237" t="s">
        <v>20</v>
      </c>
      <c r="C30" s="6" t="s">
        <v>934</v>
      </c>
      <c r="D30" s="40" t="s">
        <v>320</v>
      </c>
      <c r="E30" s="40" t="s">
        <v>632</v>
      </c>
      <c r="F30" s="37">
        <v>467333</v>
      </c>
      <c r="G30" s="354" t="s">
        <v>23</v>
      </c>
      <c r="H30" s="354" t="s">
        <v>77</v>
      </c>
      <c r="I30" s="354">
        <v>1399</v>
      </c>
      <c r="J30" s="571" t="s">
        <v>899</v>
      </c>
      <c r="K30" s="336">
        <v>1</v>
      </c>
      <c r="L30" s="232"/>
      <c r="M30" s="576" t="s">
        <v>329</v>
      </c>
      <c r="N30" s="232"/>
      <c r="O30" s="232"/>
      <c r="P30" s="179"/>
    </row>
    <row r="31" spans="1:16" s="5" customFormat="1" ht="33.6" customHeight="1">
      <c r="A31" s="285">
        <v>2</v>
      </c>
      <c r="B31" s="237" t="s">
        <v>20</v>
      </c>
      <c r="C31" s="6" t="s">
        <v>933</v>
      </c>
      <c r="D31" s="40" t="s">
        <v>320</v>
      </c>
      <c r="E31" s="40" t="s">
        <v>932</v>
      </c>
      <c r="F31" s="37">
        <v>150000</v>
      </c>
      <c r="G31" s="354" t="s">
        <v>23</v>
      </c>
      <c r="H31" s="354" t="s">
        <v>77</v>
      </c>
      <c r="I31" s="354">
        <v>1399</v>
      </c>
      <c r="J31" s="571" t="s">
        <v>899</v>
      </c>
      <c r="K31" s="336">
        <v>1</v>
      </c>
      <c r="L31" s="232"/>
      <c r="M31" s="688" t="s">
        <v>329</v>
      </c>
      <c r="N31" s="232"/>
      <c r="O31" s="232"/>
      <c r="P31" s="179"/>
    </row>
    <row r="32" spans="1:16" s="5" customFormat="1" ht="60.75" customHeight="1">
      <c r="A32" s="285">
        <v>3</v>
      </c>
      <c r="B32" s="237" t="s">
        <v>20</v>
      </c>
      <c r="C32" s="6"/>
      <c r="D32" s="40" t="s">
        <v>320</v>
      </c>
      <c r="E32" s="40" t="s">
        <v>321</v>
      </c>
      <c r="F32" s="37">
        <v>123000</v>
      </c>
      <c r="G32" s="354" t="s">
        <v>23</v>
      </c>
      <c r="H32" s="354" t="s">
        <v>77</v>
      </c>
      <c r="I32" s="354">
        <v>1399</v>
      </c>
      <c r="J32" s="571" t="s">
        <v>899</v>
      </c>
      <c r="K32" s="48">
        <v>1</v>
      </c>
      <c r="L32" s="232"/>
      <c r="M32" s="688" t="s">
        <v>329</v>
      </c>
      <c r="N32" s="232"/>
      <c r="O32" s="232"/>
      <c r="P32" s="179"/>
    </row>
    <row r="33" spans="1:16" s="5" customFormat="1" ht="72" customHeight="1">
      <c r="A33" s="285">
        <v>4</v>
      </c>
      <c r="B33" s="237" t="s">
        <v>20</v>
      </c>
      <c r="C33" s="6"/>
      <c r="D33" s="40" t="s">
        <v>320</v>
      </c>
      <c r="E33" s="40" t="s">
        <v>931</v>
      </c>
      <c r="F33" s="37">
        <v>412000</v>
      </c>
      <c r="G33" s="354" t="s">
        <v>23</v>
      </c>
      <c r="H33" s="354" t="s">
        <v>77</v>
      </c>
      <c r="I33" s="354">
        <v>1399</v>
      </c>
      <c r="J33" s="571" t="s">
        <v>899</v>
      </c>
      <c r="K33" s="336">
        <v>1</v>
      </c>
      <c r="L33" s="232"/>
      <c r="M33" s="688" t="s">
        <v>329</v>
      </c>
      <c r="N33" s="232"/>
      <c r="O33" s="232"/>
      <c r="P33" s="179"/>
    </row>
    <row r="34" spans="1:16" s="5" customFormat="1" ht="72">
      <c r="A34" s="285">
        <v>5</v>
      </c>
      <c r="B34" s="237" t="s">
        <v>20</v>
      </c>
      <c r="C34" s="6"/>
      <c r="D34" s="40" t="s">
        <v>320</v>
      </c>
      <c r="E34" s="40" t="s">
        <v>930</v>
      </c>
      <c r="F34" s="37">
        <v>2314400</v>
      </c>
      <c r="G34" s="354" t="s">
        <v>23</v>
      </c>
      <c r="H34" s="354" t="s">
        <v>77</v>
      </c>
      <c r="I34" s="354">
        <v>1399</v>
      </c>
      <c r="J34" s="571" t="s">
        <v>899</v>
      </c>
      <c r="K34" s="336">
        <v>1</v>
      </c>
      <c r="L34" s="232"/>
      <c r="M34" s="688" t="s">
        <v>329</v>
      </c>
      <c r="N34" s="232"/>
      <c r="O34" s="232"/>
      <c r="P34" s="179"/>
    </row>
    <row r="35" spans="1:16" s="5" customFormat="1" ht="72">
      <c r="A35" s="285">
        <v>6</v>
      </c>
      <c r="B35" s="237" t="s">
        <v>20</v>
      </c>
      <c r="C35" s="6"/>
      <c r="D35" s="40" t="s">
        <v>320</v>
      </c>
      <c r="E35" s="40" t="s">
        <v>929</v>
      </c>
      <c r="F35" s="37">
        <v>1000000</v>
      </c>
      <c r="G35" s="354" t="s">
        <v>23</v>
      </c>
      <c r="H35" s="354" t="s">
        <v>77</v>
      </c>
      <c r="I35" s="354">
        <v>1399</v>
      </c>
      <c r="J35" s="571" t="s">
        <v>899</v>
      </c>
      <c r="K35" s="336">
        <v>1</v>
      </c>
      <c r="L35" s="232"/>
      <c r="M35" s="688" t="s">
        <v>329</v>
      </c>
      <c r="N35" s="232"/>
      <c r="O35" s="232"/>
      <c r="P35" s="179"/>
    </row>
    <row r="36" spans="1:16" s="5" customFormat="1" ht="72">
      <c r="A36" s="285">
        <v>7</v>
      </c>
      <c r="B36" s="237" t="s">
        <v>20</v>
      </c>
      <c r="C36" s="6"/>
      <c r="D36" s="40" t="s">
        <v>320</v>
      </c>
      <c r="E36" s="40" t="s">
        <v>928</v>
      </c>
      <c r="F36" s="37">
        <v>2578800</v>
      </c>
      <c r="G36" s="354" t="s">
        <v>23</v>
      </c>
      <c r="H36" s="354" t="s">
        <v>77</v>
      </c>
      <c r="I36" s="354">
        <v>1399</v>
      </c>
      <c r="J36" s="571" t="s">
        <v>899</v>
      </c>
      <c r="K36" s="336">
        <v>1</v>
      </c>
      <c r="L36" s="232"/>
      <c r="M36" s="688" t="s">
        <v>329</v>
      </c>
      <c r="N36" s="232"/>
      <c r="O36" s="232"/>
      <c r="P36" s="179"/>
    </row>
    <row r="37" spans="1:16" s="5" customFormat="1" ht="72">
      <c r="A37" s="285">
        <v>8</v>
      </c>
      <c r="B37" s="237" t="s">
        <v>20</v>
      </c>
      <c r="C37" s="6"/>
      <c r="D37" s="40" t="s">
        <v>320</v>
      </c>
      <c r="E37" s="40" t="s">
        <v>322</v>
      </c>
      <c r="F37" s="37">
        <v>72000</v>
      </c>
      <c r="G37" s="354" t="s">
        <v>23</v>
      </c>
      <c r="H37" s="354" t="s">
        <v>77</v>
      </c>
      <c r="I37" s="354">
        <v>1399</v>
      </c>
      <c r="J37" s="571" t="s">
        <v>899</v>
      </c>
      <c r="K37" s="336">
        <v>1</v>
      </c>
      <c r="L37" s="232"/>
      <c r="M37" s="688" t="s">
        <v>329</v>
      </c>
      <c r="N37" s="232"/>
      <c r="O37" s="232"/>
      <c r="P37" s="179"/>
    </row>
    <row r="38" spans="1:16" s="574" customFormat="1" ht="72">
      <c r="A38" s="285">
        <v>9</v>
      </c>
      <c r="B38" s="237" t="s">
        <v>20</v>
      </c>
      <c r="C38" s="341" t="s">
        <v>911</v>
      </c>
      <c r="D38" s="196" t="s">
        <v>578</v>
      </c>
      <c r="E38" s="40" t="s">
        <v>927</v>
      </c>
      <c r="F38" s="37">
        <v>23805718</v>
      </c>
      <c r="G38" s="354" t="s">
        <v>23</v>
      </c>
      <c r="H38" s="354" t="s">
        <v>393</v>
      </c>
      <c r="I38" s="354">
        <v>1399</v>
      </c>
      <c r="J38" s="571" t="s">
        <v>899</v>
      </c>
      <c r="K38" s="48">
        <v>1</v>
      </c>
      <c r="L38" s="196"/>
      <c r="M38" s="688" t="s">
        <v>329</v>
      </c>
      <c r="N38" s="196"/>
      <c r="O38" s="196"/>
      <c r="P38" s="577"/>
    </row>
    <row r="39" spans="1:16" s="574" customFormat="1" ht="72">
      <c r="A39" s="285">
        <v>10</v>
      </c>
      <c r="B39" s="237" t="s">
        <v>20</v>
      </c>
      <c r="C39" s="579" t="s">
        <v>926</v>
      </c>
      <c r="D39" s="196" t="s">
        <v>578</v>
      </c>
      <c r="E39" s="40" t="s">
        <v>925</v>
      </c>
      <c r="F39" s="37">
        <v>44325000</v>
      </c>
      <c r="G39" s="354" t="s">
        <v>23</v>
      </c>
      <c r="H39" s="354" t="s">
        <v>393</v>
      </c>
      <c r="I39" s="354">
        <v>1399</v>
      </c>
      <c r="J39" s="571" t="s">
        <v>899</v>
      </c>
      <c r="K39" s="219">
        <v>0</v>
      </c>
      <c r="L39" s="637"/>
      <c r="M39" s="688" t="s">
        <v>329</v>
      </c>
      <c r="N39" s="196"/>
      <c r="O39" s="196"/>
      <c r="P39" s="577"/>
    </row>
    <row r="40" spans="1:16" s="574" customFormat="1" ht="36">
      <c r="A40" s="285">
        <v>11</v>
      </c>
      <c r="B40" s="237" t="s">
        <v>20</v>
      </c>
      <c r="C40" s="196" t="s">
        <v>911</v>
      </c>
      <c r="D40" s="196" t="s">
        <v>578</v>
      </c>
      <c r="E40" s="40" t="s">
        <v>924</v>
      </c>
      <c r="F40" s="37">
        <v>119201588</v>
      </c>
      <c r="G40" s="354" t="s">
        <v>23</v>
      </c>
      <c r="H40" s="354" t="s">
        <v>393</v>
      </c>
      <c r="I40" s="354">
        <v>1399</v>
      </c>
      <c r="J40" s="571" t="s">
        <v>899</v>
      </c>
      <c r="K40" s="219">
        <v>0</v>
      </c>
      <c r="L40" s="637"/>
      <c r="M40" s="688" t="s">
        <v>329</v>
      </c>
      <c r="N40" s="196"/>
      <c r="O40" s="196"/>
      <c r="P40" s="577"/>
    </row>
    <row r="41" spans="1:16" s="574" customFormat="1" ht="54">
      <c r="A41" s="285">
        <v>12</v>
      </c>
      <c r="B41" s="237" t="s">
        <v>20</v>
      </c>
      <c r="C41" s="196" t="s">
        <v>911</v>
      </c>
      <c r="D41" s="196" t="s">
        <v>578</v>
      </c>
      <c r="E41" s="40" t="s">
        <v>923</v>
      </c>
      <c r="F41" s="37">
        <v>7578880</v>
      </c>
      <c r="G41" s="354" t="s">
        <v>23</v>
      </c>
      <c r="H41" s="354" t="s">
        <v>393</v>
      </c>
      <c r="I41" s="354">
        <v>1399</v>
      </c>
      <c r="J41" s="571" t="s">
        <v>899</v>
      </c>
      <c r="K41" s="48">
        <v>1</v>
      </c>
      <c r="L41" s="196"/>
      <c r="M41" s="688" t="s">
        <v>329</v>
      </c>
      <c r="N41" s="196"/>
      <c r="O41" s="196"/>
      <c r="P41" s="577"/>
    </row>
    <row r="42" spans="1:16" s="574" customFormat="1" ht="54">
      <c r="A42" s="285">
        <v>13</v>
      </c>
      <c r="B42" s="237" t="s">
        <v>20</v>
      </c>
      <c r="C42" s="196" t="s">
        <v>922</v>
      </c>
      <c r="D42" s="196" t="s">
        <v>578</v>
      </c>
      <c r="E42" s="40" t="s">
        <v>921</v>
      </c>
      <c r="F42" s="37">
        <v>7263343</v>
      </c>
      <c r="G42" s="354" t="s">
        <v>23</v>
      </c>
      <c r="H42" s="354" t="s">
        <v>393</v>
      </c>
      <c r="I42" s="354">
        <v>1399</v>
      </c>
      <c r="J42" s="571" t="s">
        <v>899</v>
      </c>
      <c r="K42" s="48">
        <v>1</v>
      </c>
      <c r="L42" s="196"/>
      <c r="M42" s="688" t="s">
        <v>329</v>
      </c>
      <c r="N42" s="196"/>
      <c r="O42" s="196"/>
      <c r="P42" s="577"/>
    </row>
    <row r="43" spans="1:16" s="574" customFormat="1" ht="54">
      <c r="A43" s="285">
        <v>14</v>
      </c>
      <c r="B43" s="237" t="s">
        <v>20</v>
      </c>
      <c r="C43" s="196" t="s">
        <v>918</v>
      </c>
      <c r="D43" s="196" t="s">
        <v>578</v>
      </c>
      <c r="E43" s="40" t="s">
        <v>920</v>
      </c>
      <c r="F43" s="37">
        <v>7271442</v>
      </c>
      <c r="G43" s="354" t="s">
        <v>23</v>
      </c>
      <c r="H43" s="354" t="s">
        <v>393</v>
      </c>
      <c r="I43" s="354">
        <v>1399</v>
      </c>
      <c r="J43" s="571" t="s">
        <v>899</v>
      </c>
      <c r="K43" s="48">
        <v>1</v>
      </c>
      <c r="L43" s="196"/>
      <c r="M43" s="688" t="s">
        <v>329</v>
      </c>
      <c r="N43" s="196"/>
      <c r="O43" s="196"/>
      <c r="P43" s="577"/>
    </row>
    <row r="44" spans="1:16" s="574" customFormat="1" ht="54">
      <c r="A44" s="285">
        <v>15</v>
      </c>
      <c r="B44" s="237" t="s">
        <v>20</v>
      </c>
      <c r="C44" s="196" t="s">
        <v>911</v>
      </c>
      <c r="D44" s="196" t="s">
        <v>578</v>
      </c>
      <c r="E44" s="40" t="s">
        <v>919</v>
      </c>
      <c r="F44" s="37">
        <v>7241320</v>
      </c>
      <c r="G44" s="354" t="s">
        <v>23</v>
      </c>
      <c r="H44" s="354" t="s">
        <v>393</v>
      </c>
      <c r="I44" s="354">
        <v>1399</v>
      </c>
      <c r="J44" s="571" t="s">
        <v>899</v>
      </c>
      <c r="K44" s="48">
        <v>1</v>
      </c>
      <c r="L44" s="196"/>
      <c r="M44" s="688" t="s">
        <v>329</v>
      </c>
      <c r="N44" s="196"/>
      <c r="O44" s="196"/>
      <c r="P44" s="577"/>
    </row>
    <row r="45" spans="1:16" s="574" customFormat="1" ht="54">
      <c r="A45" s="285">
        <v>16</v>
      </c>
      <c r="B45" s="237" t="s">
        <v>20</v>
      </c>
      <c r="C45" s="196" t="s">
        <v>918</v>
      </c>
      <c r="D45" s="196" t="s">
        <v>578</v>
      </c>
      <c r="E45" s="40" t="s">
        <v>917</v>
      </c>
      <c r="F45" s="37">
        <v>7285426</v>
      </c>
      <c r="G45" s="354" t="s">
        <v>23</v>
      </c>
      <c r="H45" s="354" t="s">
        <v>393</v>
      </c>
      <c r="I45" s="354">
        <v>1399</v>
      </c>
      <c r="J45" s="571" t="s">
        <v>899</v>
      </c>
      <c r="K45" s="48">
        <v>1</v>
      </c>
      <c r="L45" s="196"/>
      <c r="M45" s="688" t="s">
        <v>329</v>
      </c>
      <c r="N45" s="196"/>
      <c r="O45" s="196"/>
      <c r="P45" s="577"/>
    </row>
    <row r="46" spans="1:16" s="574" customFormat="1" ht="54">
      <c r="A46" s="285">
        <v>17</v>
      </c>
      <c r="B46" s="237" t="s">
        <v>20</v>
      </c>
      <c r="C46" s="196" t="s">
        <v>911</v>
      </c>
      <c r="D46" s="196" t="s">
        <v>578</v>
      </c>
      <c r="E46" s="40" t="s">
        <v>916</v>
      </c>
      <c r="F46" s="37">
        <v>7578880</v>
      </c>
      <c r="G46" s="354" t="s">
        <v>23</v>
      </c>
      <c r="H46" s="354" t="s">
        <v>393</v>
      </c>
      <c r="I46" s="354">
        <v>1399</v>
      </c>
      <c r="J46" s="571" t="s">
        <v>899</v>
      </c>
      <c r="K46" s="219">
        <v>0.3</v>
      </c>
      <c r="L46" s="637"/>
      <c r="M46" s="688" t="s">
        <v>329</v>
      </c>
      <c r="N46" s="196"/>
      <c r="O46" s="196"/>
      <c r="P46" s="577"/>
    </row>
    <row r="47" spans="1:16" s="574" customFormat="1" ht="54">
      <c r="A47" s="285">
        <v>18</v>
      </c>
      <c r="B47" s="237" t="s">
        <v>20</v>
      </c>
      <c r="C47" s="196" t="s">
        <v>911</v>
      </c>
      <c r="D47" s="196" t="s">
        <v>578</v>
      </c>
      <c r="E47" s="40" t="s">
        <v>915</v>
      </c>
      <c r="F47" s="37">
        <v>6841163</v>
      </c>
      <c r="G47" s="354" t="s">
        <v>23</v>
      </c>
      <c r="H47" s="354" t="s">
        <v>393</v>
      </c>
      <c r="I47" s="354">
        <v>1399</v>
      </c>
      <c r="J47" s="571" t="s">
        <v>899</v>
      </c>
      <c r="K47" s="48">
        <v>1</v>
      </c>
      <c r="L47" s="196"/>
      <c r="M47" s="688" t="s">
        <v>329</v>
      </c>
      <c r="N47" s="196"/>
      <c r="O47" s="196"/>
      <c r="P47" s="577"/>
    </row>
    <row r="48" spans="1:16" s="574" customFormat="1" ht="54">
      <c r="A48" s="285">
        <v>19</v>
      </c>
      <c r="B48" s="237" t="s">
        <v>20</v>
      </c>
      <c r="C48" s="196" t="s">
        <v>911</v>
      </c>
      <c r="D48" s="196" t="s">
        <v>578</v>
      </c>
      <c r="E48" s="40" t="s">
        <v>914</v>
      </c>
      <c r="F48" s="37">
        <v>6898753</v>
      </c>
      <c r="G48" s="354" t="s">
        <v>23</v>
      </c>
      <c r="H48" s="354" t="s">
        <v>393</v>
      </c>
      <c r="I48" s="354">
        <v>1399</v>
      </c>
      <c r="J48" s="571" t="s">
        <v>899</v>
      </c>
      <c r="K48" s="48">
        <v>1</v>
      </c>
      <c r="L48" s="196"/>
      <c r="M48" s="688" t="s">
        <v>329</v>
      </c>
      <c r="N48" s="196"/>
      <c r="O48" s="196"/>
      <c r="P48" s="577"/>
    </row>
    <row r="49" spans="1:16" s="574" customFormat="1" ht="54">
      <c r="A49" s="285">
        <v>20</v>
      </c>
      <c r="B49" s="237" t="s">
        <v>20</v>
      </c>
      <c r="C49" s="196" t="s">
        <v>913</v>
      </c>
      <c r="D49" s="196" t="s">
        <v>578</v>
      </c>
      <c r="E49" s="40" t="s">
        <v>912</v>
      </c>
      <c r="F49" s="37">
        <v>6882858</v>
      </c>
      <c r="G49" s="354" t="s">
        <v>23</v>
      </c>
      <c r="H49" s="354" t="s">
        <v>393</v>
      </c>
      <c r="I49" s="354">
        <v>1399</v>
      </c>
      <c r="J49" s="571" t="s">
        <v>899</v>
      </c>
      <c r="K49" s="48">
        <v>1</v>
      </c>
      <c r="L49" s="196"/>
      <c r="M49" s="688" t="s">
        <v>329</v>
      </c>
      <c r="N49" s="196"/>
      <c r="O49" s="196"/>
      <c r="P49" s="577"/>
    </row>
    <row r="50" spans="1:16" s="574" customFormat="1" ht="54">
      <c r="A50" s="285">
        <v>21</v>
      </c>
      <c r="B50" s="237" t="s">
        <v>20</v>
      </c>
      <c r="C50" s="196" t="s">
        <v>911</v>
      </c>
      <c r="D50" s="196" t="s">
        <v>578</v>
      </c>
      <c r="E50" s="40" t="s">
        <v>910</v>
      </c>
      <c r="F50" s="37">
        <v>6986569</v>
      </c>
      <c r="G50" s="354" t="s">
        <v>23</v>
      </c>
      <c r="H50" s="354" t="s">
        <v>393</v>
      </c>
      <c r="I50" s="354">
        <v>1399</v>
      </c>
      <c r="J50" s="571" t="s">
        <v>25</v>
      </c>
      <c r="K50" s="48">
        <v>1</v>
      </c>
      <c r="L50" s="637"/>
      <c r="M50" s="688" t="s">
        <v>329</v>
      </c>
      <c r="N50" s="196"/>
      <c r="O50" s="196"/>
      <c r="P50" s="577"/>
    </row>
    <row r="51" spans="1:16" s="574" customFormat="1" ht="54">
      <c r="A51" s="285">
        <v>22</v>
      </c>
      <c r="B51" s="237" t="s">
        <v>20</v>
      </c>
      <c r="C51" s="196" t="s">
        <v>909</v>
      </c>
      <c r="D51" s="196" t="s">
        <v>578</v>
      </c>
      <c r="E51" s="40" t="s">
        <v>908</v>
      </c>
      <c r="F51" s="37">
        <v>7144554</v>
      </c>
      <c r="G51" s="354" t="s">
        <v>23</v>
      </c>
      <c r="H51" s="354" t="s">
        <v>393</v>
      </c>
      <c r="I51" s="354">
        <v>1399</v>
      </c>
      <c r="J51" s="571" t="s">
        <v>25</v>
      </c>
      <c r="K51" s="48">
        <v>1</v>
      </c>
      <c r="L51" s="637"/>
      <c r="M51" s="688" t="s">
        <v>329</v>
      </c>
      <c r="N51" s="196"/>
      <c r="O51" s="196"/>
      <c r="P51" s="577"/>
    </row>
    <row r="52" spans="1:16" s="574" customFormat="1" ht="54">
      <c r="A52" s="285">
        <v>23</v>
      </c>
      <c r="B52" s="237" t="s">
        <v>20</v>
      </c>
      <c r="C52" s="196" t="s">
        <v>907</v>
      </c>
      <c r="D52" s="196" t="s">
        <v>578</v>
      </c>
      <c r="E52" s="40" t="s">
        <v>906</v>
      </c>
      <c r="F52" s="37">
        <v>6989020</v>
      </c>
      <c r="G52" s="354" t="s">
        <v>23</v>
      </c>
      <c r="H52" s="354" t="s">
        <v>393</v>
      </c>
      <c r="I52" s="354">
        <v>1399</v>
      </c>
      <c r="J52" s="571" t="s">
        <v>25</v>
      </c>
      <c r="K52" s="48">
        <v>1</v>
      </c>
      <c r="L52" s="637"/>
      <c r="M52" s="688" t="s">
        <v>329</v>
      </c>
      <c r="N52" s="196"/>
      <c r="O52" s="196"/>
      <c r="P52" s="577"/>
    </row>
    <row r="53" spans="1:16" s="256" customFormat="1" ht="57.6" customHeight="1">
      <c r="A53" s="285">
        <v>24</v>
      </c>
      <c r="B53" s="237" t="s">
        <v>20</v>
      </c>
      <c r="C53" s="6"/>
      <c r="D53" s="237" t="s">
        <v>21</v>
      </c>
      <c r="E53" s="323" t="s">
        <v>22</v>
      </c>
      <c r="F53" s="184">
        <v>640000</v>
      </c>
      <c r="G53" s="327" t="s">
        <v>23</v>
      </c>
      <c r="H53" s="327" t="s">
        <v>77</v>
      </c>
      <c r="I53" s="327">
        <v>1399</v>
      </c>
      <c r="J53" s="21" t="s">
        <v>899</v>
      </c>
      <c r="K53" s="219">
        <v>1</v>
      </c>
      <c r="L53" s="326"/>
      <c r="M53" s="688" t="s">
        <v>329</v>
      </c>
      <c r="N53" s="323"/>
      <c r="O53" s="323"/>
      <c r="P53" s="340"/>
    </row>
    <row r="54" spans="1:16" s="256" customFormat="1" ht="65.45" customHeight="1">
      <c r="A54" s="285">
        <v>25</v>
      </c>
      <c r="B54" s="237" t="s">
        <v>20</v>
      </c>
      <c r="C54" s="6"/>
      <c r="D54" s="237" t="s">
        <v>21</v>
      </c>
      <c r="E54" s="323" t="s">
        <v>98</v>
      </c>
      <c r="F54" s="184">
        <v>17000</v>
      </c>
      <c r="G54" s="327" t="s">
        <v>23</v>
      </c>
      <c r="H54" s="327" t="s">
        <v>77</v>
      </c>
      <c r="I54" s="327">
        <v>1399</v>
      </c>
      <c r="J54" s="21" t="s">
        <v>899</v>
      </c>
      <c r="K54" s="219">
        <v>1</v>
      </c>
      <c r="L54" s="326"/>
      <c r="M54" s="688" t="s">
        <v>329</v>
      </c>
      <c r="N54" s="326"/>
      <c r="O54" s="323"/>
      <c r="P54" s="340"/>
    </row>
    <row r="55" spans="1:16" s="256" customFormat="1" ht="58.15" customHeight="1">
      <c r="A55" s="285">
        <v>26</v>
      </c>
      <c r="B55" s="237" t="s">
        <v>20</v>
      </c>
      <c r="C55" s="6"/>
      <c r="D55" s="237" t="s">
        <v>28</v>
      </c>
      <c r="E55" s="204" t="s">
        <v>905</v>
      </c>
      <c r="F55" s="184">
        <v>13860000</v>
      </c>
      <c r="G55" s="327" t="s">
        <v>23</v>
      </c>
      <c r="H55" s="327" t="s">
        <v>77</v>
      </c>
      <c r="I55" s="327">
        <v>1399</v>
      </c>
      <c r="J55" s="21" t="s">
        <v>899</v>
      </c>
      <c r="K55" s="219">
        <v>1</v>
      </c>
      <c r="L55" s="22"/>
      <c r="M55" s="688" t="s">
        <v>329</v>
      </c>
      <c r="N55" s="326"/>
      <c r="O55" s="323"/>
      <c r="P55" s="251" t="s">
        <v>17</v>
      </c>
    </row>
    <row r="56" spans="1:16" s="256" customFormat="1" ht="107.25" customHeight="1">
      <c r="A56" s="285">
        <v>27</v>
      </c>
      <c r="B56" s="237" t="s">
        <v>20</v>
      </c>
      <c r="C56" s="6"/>
      <c r="D56" s="237" t="s">
        <v>28</v>
      </c>
      <c r="E56" s="323" t="s">
        <v>29</v>
      </c>
      <c r="F56" s="37">
        <v>135000</v>
      </c>
      <c r="G56" s="327" t="s">
        <v>23</v>
      </c>
      <c r="H56" s="327" t="s">
        <v>77</v>
      </c>
      <c r="I56" s="327">
        <v>1399</v>
      </c>
      <c r="J56" s="21" t="s">
        <v>899</v>
      </c>
      <c r="K56" s="219">
        <v>1</v>
      </c>
      <c r="L56" s="229"/>
      <c r="M56" s="688" t="s">
        <v>329</v>
      </c>
      <c r="N56" s="229"/>
      <c r="O56" s="323"/>
      <c r="P56" s="328"/>
    </row>
    <row r="57" spans="1:16" s="256" customFormat="1" ht="110.25" customHeight="1">
      <c r="A57" s="285">
        <v>28</v>
      </c>
      <c r="B57" s="237" t="s">
        <v>20</v>
      </c>
      <c r="C57" s="6"/>
      <c r="D57" s="237" t="s">
        <v>28</v>
      </c>
      <c r="E57" s="204" t="s">
        <v>99</v>
      </c>
      <c r="F57" s="37">
        <v>62250</v>
      </c>
      <c r="G57" s="327" t="s">
        <v>23</v>
      </c>
      <c r="H57" s="327" t="s">
        <v>77</v>
      </c>
      <c r="I57" s="327">
        <v>1399</v>
      </c>
      <c r="J57" s="21" t="s">
        <v>899</v>
      </c>
      <c r="K57" s="219">
        <v>1</v>
      </c>
      <c r="L57" s="229"/>
      <c r="M57" s="688" t="s">
        <v>329</v>
      </c>
      <c r="N57" s="229"/>
      <c r="O57" s="323"/>
      <c r="P57" s="328"/>
    </row>
    <row r="58" spans="1:16" s="256" customFormat="1" ht="75" customHeight="1">
      <c r="A58" s="285">
        <v>29</v>
      </c>
      <c r="B58" s="237" t="s">
        <v>20</v>
      </c>
      <c r="C58" s="6"/>
      <c r="D58" s="40" t="s">
        <v>31</v>
      </c>
      <c r="E58" s="323" t="s">
        <v>80</v>
      </c>
      <c r="F58" s="37">
        <v>903000</v>
      </c>
      <c r="G58" s="327" t="s">
        <v>23</v>
      </c>
      <c r="H58" s="327" t="s">
        <v>77</v>
      </c>
      <c r="I58" s="327">
        <v>1399</v>
      </c>
      <c r="J58" s="21" t="s">
        <v>899</v>
      </c>
      <c r="K58" s="219">
        <v>1</v>
      </c>
      <c r="L58" s="229"/>
      <c r="M58" s="688" t="s">
        <v>329</v>
      </c>
      <c r="N58" s="229"/>
      <c r="O58" s="323"/>
      <c r="P58" s="339"/>
    </row>
    <row r="59" spans="1:16" s="26" customFormat="1" ht="77.25" customHeight="1">
      <c r="A59" s="285">
        <v>30</v>
      </c>
      <c r="B59" s="237" t="s">
        <v>20</v>
      </c>
      <c r="C59" s="6"/>
      <c r="D59" s="40" t="s">
        <v>31</v>
      </c>
      <c r="E59" s="323" t="s">
        <v>34</v>
      </c>
      <c r="F59" s="37">
        <v>801006</v>
      </c>
      <c r="G59" s="327" t="s">
        <v>23</v>
      </c>
      <c r="H59" s="327" t="s">
        <v>77</v>
      </c>
      <c r="I59" s="327">
        <v>1399</v>
      </c>
      <c r="J59" s="21" t="s">
        <v>899</v>
      </c>
      <c r="K59" s="219">
        <v>1</v>
      </c>
      <c r="L59" s="229"/>
      <c r="M59" s="688" t="s">
        <v>329</v>
      </c>
      <c r="N59" s="229"/>
      <c r="O59" s="323"/>
      <c r="P59" s="110"/>
    </row>
    <row r="60" spans="1:16" s="256" customFormat="1" ht="71.25" customHeight="1">
      <c r="A60" s="285">
        <v>31</v>
      </c>
      <c r="B60" s="237" t="s">
        <v>20</v>
      </c>
      <c r="C60" s="6"/>
      <c r="D60" s="40" t="s">
        <v>31</v>
      </c>
      <c r="E60" s="323" t="s">
        <v>32</v>
      </c>
      <c r="F60" s="37">
        <v>593250</v>
      </c>
      <c r="G60" s="327" t="s">
        <v>23</v>
      </c>
      <c r="H60" s="327" t="s">
        <v>77</v>
      </c>
      <c r="I60" s="327">
        <v>1399</v>
      </c>
      <c r="J60" s="21" t="s">
        <v>899</v>
      </c>
      <c r="K60" s="219">
        <v>1</v>
      </c>
      <c r="L60" s="229"/>
      <c r="M60" s="688" t="s">
        <v>329</v>
      </c>
      <c r="N60" s="229"/>
      <c r="O60" s="323"/>
      <c r="P60" s="339" t="s">
        <v>17</v>
      </c>
    </row>
    <row r="61" spans="1:16" s="256" customFormat="1" ht="80.25" customHeight="1">
      <c r="A61" s="285">
        <v>32</v>
      </c>
      <c r="B61" s="237" t="s">
        <v>20</v>
      </c>
      <c r="C61" s="6"/>
      <c r="D61" s="40" t="s">
        <v>31</v>
      </c>
      <c r="E61" s="323" t="s">
        <v>575</v>
      </c>
      <c r="F61" s="37">
        <v>2000000</v>
      </c>
      <c r="G61" s="327" t="s">
        <v>23</v>
      </c>
      <c r="H61" s="327" t="s">
        <v>77</v>
      </c>
      <c r="I61" s="327">
        <v>1399</v>
      </c>
      <c r="J61" s="21" t="s">
        <v>899</v>
      </c>
      <c r="K61" s="219">
        <v>1</v>
      </c>
      <c r="L61" s="229"/>
      <c r="M61" s="688" t="s">
        <v>329</v>
      </c>
      <c r="N61" s="229"/>
      <c r="O61" s="323"/>
      <c r="P61" s="339"/>
    </row>
    <row r="62" spans="1:16" s="256" customFormat="1" ht="74.25" customHeight="1">
      <c r="A62" s="285">
        <v>33</v>
      </c>
      <c r="B62" s="237" t="s">
        <v>20</v>
      </c>
      <c r="C62" s="6"/>
      <c r="D62" s="40" t="s">
        <v>31</v>
      </c>
      <c r="E62" s="323" t="s">
        <v>483</v>
      </c>
      <c r="F62" s="37">
        <v>448000</v>
      </c>
      <c r="G62" s="327" t="s">
        <v>23</v>
      </c>
      <c r="H62" s="327" t="s">
        <v>77</v>
      </c>
      <c r="I62" s="327">
        <v>1399</v>
      </c>
      <c r="J62" s="21" t="s">
        <v>899</v>
      </c>
      <c r="K62" s="219">
        <v>1</v>
      </c>
      <c r="L62" s="229"/>
      <c r="M62" s="688" t="s">
        <v>329</v>
      </c>
      <c r="N62" s="229"/>
      <c r="O62" s="323"/>
      <c r="P62" s="339"/>
    </row>
    <row r="63" spans="1:16" s="256" customFormat="1" ht="62.25" customHeight="1">
      <c r="A63" s="285">
        <v>34</v>
      </c>
      <c r="B63" s="237" t="s">
        <v>20</v>
      </c>
      <c r="C63" s="6"/>
      <c r="D63" s="237" t="s">
        <v>40</v>
      </c>
      <c r="E63" s="164" t="s">
        <v>101</v>
      </c>
      <c r="F63" s="37">
        <f>3*1413600</f>
        <v>4240800</v>
      </c>
      <c r="G63" s="327" t="s">
        <v>23</v>
      </c>
      <c r="H63" s="327" t="s">
        <v>41</v>
      </c>
      <c r="I63" s="327">
        <v>1399</v>
      </c>
      <c r="J63" s="21" t="s">
        <v>899</v>
      </c>
      <c r="K63" s="219">
        <v>1</v>
      </c>
      <c r="L63" s="229"/>
      <c r="M63" s="688" t="s">
        <v>329</v>
      </c>
      <c r="N63" s="229"/>
      <c r="O63" s="192"/>
      <c r="P63" s="819"/>
    </row>
    <row r="64" spans="1:16" s="256" customFormat="1" ht="62.25" customHeight="1">
      <c r="A64" s="285">
        <v>35</v>
      </c>
      <c r="B64" s="237" t="s">
        <v>20</v>
      </c>
      <c r="C64" s="6"/>
      <c r="D64" s="237" t="s">
        <v>40</v>
      </c>
      <c r="E64" s="164" t="s">
        <v>904</v>
      </c>
      <c r="F64" s="37">
        <f>170* 58032</f>
        <v>9865440</v>
      </c>
      <c r="G64" s="327" t="s">
        <v>23</v>
      </c>
      <c r="H64" s="327" t="s">
        <v>41</v>
      </c>
      <c r="I64" s="327">
        <v>1399</v>
      </c>
      <c r="J64" s="21" t="s">
        <v>899</v>
      </c>
      <c r="K64" s="219">
        <v>1</v>
      </c>
      <c r="L64" s="229"/>
      <c r="M64" s="688" t="s">
        <v>329</v>
      </c>
      <c r="N64" s="229"/>
      <c r="O64" s="323"/>
      <c r="P64" s="819"/>
    </row>
    <row r="65" spans="1:16" s="256" customFormat="1" ht="90" customHeight="1">
      <c r="A65" s="285">
        <v>36</v>
      </c>
      <c r="B65" s="237" t="s">
        <v>20</v>
      </c>
      <c r="C65" s="6"/>
      <c r="D65" s="237" t="s">
        <v>40</v>
      </c>
      <c r="E65" s="164" t="s">
        <v>615</v>
      </c>
      <c r="F65" s="37" t="s">
        <v>17</v>
      </c>
      <c r="G65" s="327" t="s">
        <v>17</v>
      </c>
      <c r="H65" s="327" t="s">
        <v>17</v>
      </c>
      <c r="I65" s="327">
        <v>1399</v>
      </c>
      <c r="J65" s="21" t="s">
        <v>899</v>
      </c>
      <c r="K65" s="219">
        <v>1</v>
      </c>
      <c r="L65" s="229"/>
      <c r="M65" s="688" t="s">
        <v>329</v>
      </c>
      <c r="N65" s="229"/>
      <c r="O65" s="193"/>
      <c r="P65" s="110" t="s">
        <v>83</v>
      </c>
    </row>
    <row r="66" spans="1:16" s="256" customFormat="1" ht="55.5" customHeight="1">
      <c r="A66" s="285">
        <v>37</v>
      </c>
      <c r="B66" s="237" t="s">
        <v>20</v>
      </c>
      <c r="C66" s="6"/>
      <c r="D66" s="237" t="s">
        <v>40</v>
      </c>
      <c r="E66" s="164" t="s">
        <v>84</v>
      </c>
      <c r="F66" s="37">
        <f>2* 848904</f>
        <v>1697808</v>
      </c>
      <c r="G66" s="327" t="s">
        <v>23</v>
      </c>
      <c r="H66" s="327" t="s">
        <v>41</v>
      </c>
      <c r="I66" s="327">
        <v>1399</v>
      </c>
      <c r="J66" s="21" t="s">
        <v>899</v>
      </c>
      <c r="K66" s="219">
        <v>1</v>
      </c>
      <c r="L66" s="229"/>
      <c r="M66" s="688" t="s">
        <v>329</v>
      </c>
      <c r="N66" s="229"/>
      <c r="O66" s="192"/>
      <c r="P66" s="338"/>
    </row>
    <row r="67" spans="1:16" s="256" customFormat="1" ht="91.15" customHeight="1">
      <c r="A67" s="285">
        <v>38</v>
      </c>
      <c r="B67" s="237" t="s">
        <v>20</v>
      </c>
      <c r="C67" s="6"/>
      <c r="D67" s="237" t="s">
        <v>40</v>
      </c>
      <c r="E67" s="164" t="s">
        <v>572</v>
      </c>
      <c r="F67" s="37">
        <f>4* 223200</f>
        <v>892800</v>
      </c>
      <c r="G67" s="327" t="s">
        <v>23</v>
      </c>
      <c r="H67" s="327" t="s">
        <v>41</v>
      </c>
      <c r="I67" s="327">
        <v>1399</v>
      </c>
      <c r="J67" s="21" t="s">
        <v>899</v>
      </c>
      <c r="K67" s="219">
        <v>1</v>
      </c>
      <c r="L67" s="229" t="s">
        <v>1828</v>
      </c>
      <c r="M67" s="688" t="s">
        <v>329</v>
      </c>
      <c r="N67" s="326" t="s">
        <v>325</v>
      </c>
      <c r="O67" s="22" t="s">
        <v>961</v>
      </c>
      <c r="P67" s="331"/>
    </row>
    <row r="68" spans="1:16" s="256" customFormat="1" ht="88.9" customHeight="1">
      <c r="A68" s="285">
        <v>39</v>
      </c>
      <c r="B68" s="237" t="s">
        <v>20</v>
      </c>
      <c r="C68" s="6"/>
      <c r="D68" s="237" t="s">
        <v>40</v>
      </c>
      <c r="E68" s="164" t="s">
        <v>85</v>
      </c>
      <c r="F68" s="37">
        <f>3*  304452</f>
        <v>913356</v>
      </c>
      <c r="G68" s="327" t="s">
        <v>23</v>
      </c>
      <c r="H68" s="327" t="s">
        <v>41</v>
      </c>
      <c r="I68" s="327">
        <v>1399</v>
      </c>
      <c r="J68" s="21" t="s">
        <v>899</v>
      </c>
      <c r="K68" s="219">
        <v>1</v>
      </c>
      <c r="L68" s="229" t="s">
        <v>1828</v>
      </c>
      <c r="M68" s="688" t="s">
        <v>329</v>
      </c>
      <c r="N68" s="326" t="s">
        <v>325</v>
      </c>
      <c r="O68" s="22" t="s">
        <v>961</v>
      </c>
      <c r="P68" s="345"/>
    </row>
    <row r="69" spans="1:16" s="256" customFormat="1" ht="72">
      <c r="A69" s="285">
        <v>40</v>
      </c>
      <c r="B69" s="237" t="s">
        <v>20</v>
      </c>
      <c r="C69" s="6"/>
      <c r="D69" s="237" t="s">
        <v>40</v>
      </c>
      <c r="E69" s="164" t="s">
        <v>903</v>
      </c>
      <c r="F69" s="37">
        <f>1395* 148</f>
        <v>206460</v>
      </c>
      <c r="G69" s="327" t="s">
        <v>23</v>
      </c>
      <c r="H69" s="327" t="s">
        <v>41</v>
      </c>
      <c r="I69" s="327">
        <v>1399</v>
      </c>
      <c r="J69" s="21" t="s">
        <v>899</v>
      </c>
      <c r="K69" s="219">
        <v>1</v>
      </c>
      <c r="L69" s="229"/>
      <c r="M69" s="688" t="s">
        <v>329</v>
      </c>
      <c r="N69" s="229"/>
      <c r="O69" s="323"/>
      <c r="P69" s="338"/>
    </row>
    <row r="70" spans="1:16" s="256" customFormat="1" ht="99" customHeight="1">
      <c r="A70" s="285">
        <v>41</v>
      </c>
      <c r="B70" s="237" t="s">
        <v>20</v>
      </c>
      <c r="C70" s="6"/>
      <c r="D70" s="237" t="s">
        <v>40</v>
      </c>
      <c r="E70" s="164" t="s">
        <v>86</v>
      </c>
      <c r="F70" s="37">
        <f>2* 375000</f>
        <v>750000</v>
      </c>
      <c r="G70" s="327" t="s">
        <v>23</v>
      </c>
      <c r="H70" s="327" t="s">
        <v>41</v>
      </c>
      <c r="I70" s="327">
        <v>1399</v>
      </c>
      <c r="J70" s="21" t="s">
        <v>899</v>
      </c>
      <c r="K70" s="336">
        <v>1</v>
      </c>
      <c r="L70" s="104" t="s">
        <v>1828</v>
      </c>
      <c r="M70" s="688" t="s">
        <v>329</v>
      </c>
      <c r="N70" s="22" t="s">
        <v>325</v>
      </c>
      <c r="O70" s="22" t="s">
        <v>961</v>
      </c>
      <c r="P70" s="819"/>
    </row>
    <row r="71" spans="1:16" s="256" customFormat="1" ht="72">
      <c r="A71" s="285">
        <v>42</v>
      </c>
      <c r="B71" s="237" t="s">
        <v>20</v>
      </c>
      <c r="C71" s="6"/>
      <c r="D71" s="237" t="s">
        <v>40</v>
      </c>
      <c r="E71" s="164" t="s">
        <v>102</v>
      </c>
      <c r="F71" s="37">
        <v>372000</v>
      </c>
      <c r="G71" s="327" t="s">
        <v>23</v>
      </c>
      <c r="H71" s="327" t="s">
        <v>41</v>
      </c>
      <c r="I71" s="327">
        <v>1399</v>
      </c>
      <c r="J71" s="21" t="s">
        <v>899</v>
      </c>
      <c r="K71" s="336">
        <v>1</v>
      </c>
      <c r="L71" s="316"/>
      <c r="M71" s="688" t="s">
        <v>329</v>
      </c>
      <c r="N71" s="316"/>
      <c r="O71" s="40"/>
      <c r="P71" s="819"/>
    </row>
    <row r="72" spans="1:16" s="256" customFormat="1" ht="72">
      <c r="A72" s="285">
        <v>43</v>
      </c>
      <c r="B72" s="237" t="s">
        <v>20</v>
      </c>
      <c r="C72" s="6"/>
      <c r="D72" s="237" t="s">
        <v>40</v>
      </c>
      <c r="E72" s="321" t="s">
        <v>414</v>
      </c>
      <c r="F72" s="37">
        <f>42* 22320</f>
        <v>937440</v>
      </c>
      <c r="G72" s="327" t="s">
        <v>23</v>
      </c>
      <c r="H72" s="327" t="s">
        <v>41</v>
      </c>
      <c r="I72" s="327">
        <v>1399</v>
      </c>
      <c r="J72" s="21" t="s">
        <v>899</v>
      </c>
      <c r="K72" s="219">
        <v>1</v>
      </c>
      <c r="L72" s="316"/>
      <c r="M72" s="688" t="s">
        <v>329</v>
      </c>
      <c r="N72" s="316"/>
      <c r="O72" s="40"/>
      <c r="P72" s="819"/>
    </row>
    <row r="73" spans="1:16" s="256" customFormat="1" ht="72">
      <c r="A73" s="285">
        <v>44</v>
      </c>
      <c r="B73" s="237" t="s">
        <v>20</v>
      </c>
      <c r="C73" s="6"/>
      <c r="D73" s="237" t="s">
        <v>40</v>
      </c>
      <c r="E73" s="164" t="s">
        <v>901</v>
      </c>
      <c r="F73" s="37">
        <f>3* 297600</f>
        <v>892800</v>
      </c>
      <c r="G73" s="327" t="s">
        <v>23</v>
      </c>
      <c r="H73" s="327" t="s">
        <v>41</v>
      </c>
      <c r="I73" s="327">
        <v>1399</v>
      </c>
      <c r="J73" s="21" t="s">
        <v>899</v>
      </c>
      <c r="K73" s="336">
        <v>1</v>
      </c>
      <c r="L73" s="316"/>
      <c r="M73" s="688" t="s">
        <v>329</v>
      </c>
      <c r="N73" s="316"/>
      <c r="O73" s="40"/>
      <c r="P73" s="819"/>
    </row>
    <row r="74" spans="1:16" s="256" customFormat="1" ht="72">
      <c r="A74" s="285">
        <v>45</v>
      </c>
      <c r="B74" s="237" t="s">
        <v>20</v>
      </c>
      <c r="C74" s="6"/>
      <c r="D74" s="237" t="s">
        <v>40</v>
      </c>
      <c r="E74" s="164" t="s">
        <v>87</v>
      </c>
      <c r="F74" s="37">
        <f>50* 3645</f>
        <v>182250</v>
      </c>
      <c r="G74" s="327" t="s">
        <v>23</v>
      </c>
      <c r="H74" s="327" t="s">
        <v>41</v>
      </c>
      <c r="I74" s="327">
        <v>1399</v>
      </c>
      <c r="J74" s="21" t="s">
        <v>899</v>
      </c>
      <c r="K74" s="336">
        <v>1</v>
      </c>
      <c r="L74" s="316"/>
      <c r="M74" s="688" t="s">
        <v>329</v>
      </c>
      <c r="N74" s="316"/>
      <c r="O74" s="40"/>
      <c r="P74" s="819"/>
    </row>
    <row r="75" spans="1:16" s="256" customFormat="1" ht="72">
      <c r="A75" s="285">
        <v>46</v>
      </c>
      <c r="B75" s="237" t="s">
        <v>20</v>
      </c>
      <c r="C75" s="6"/>
      <c r="D75" s="237" t="s">
        <v>40</v>
      </c>
      <c r="E75" s="164" t="s">
        <v>88</v>
      </c>
      <c r="F75" s="37">
        <f>5* 44640</f>
        <v>223200</v>
      </c>
      <c r="G75" s="327" t="s">
        <v>23</v>
      </c>
      <c r="H75" s="327" t="s">
        <v>41</v>
      </c>
      <c r="I75" s="327">
        <v>1399</v>
      </c>
      <c r="J75" s="21" t="s">
        <v>899</v>
      </c>
      <c r="K75" s="336">
        <v>1</v>
      </c>
      <c r="L75" s="316"/>
      <c r="M75" s="688" t="s">
        <v>329</v>
      </c>
      <c r="N75" s="316"/>
      <c r="O75" s="40"/>
      <c r="P75" s="819"/>
    </row>
    <row r="76" spans="1:16" s="256" customFormat="1" ht="72">
      <c r="A76" s="285">
        <v>47</v>
      </c>
      <c r="B76" s="237" t="s">
        <v>20</v>
      </c>
      <c r="C76" s="6"/>
      <c r="D76" s="237" t="s">
        <v>40</v>
      </c>
      <c r="E76" s="164" t="s">
        <v>441</v>
      </c>
      <c r="F76" s="37">
        <f>15* 52471</f>
        <v>787065</v>
      </c>
      <c r="G76" s="327" t="s">
        <v>23</v>
      </c>
      <c r="H76" s="327" t="s">
        <v>41</v>
      </c>
      <c r="I76" s="327">
        <v>1399</v>
      </c>
      <c r="J76" s="21" t="s">
        <v>899</v>
      </c>
      <c r="K76" s="219">
        <v>1</v>
      </c>
      <c r="L76" s="316"/>
      <c r="M76" s="688" t="s">
        <v>329</v>
      </c>
      <c r="N76" s="316"/>
      <c r="O76" s="40"/>
      <c r="P76" s="819"/>
    </row>
    <row r="77" spans="1:16" s="256" customFormat="1" ht="72">
      <c r="A77" s="285">
        <v>48</v>
      </c>
      <c r="B77" s="237" t="s">
        <v>20</v>
      </c>
      <c r="C77" s="6"/>
      <c r="D77" s="237" t="s">
        <v>40</v>
      </c>
      <c r="E77" s="164" t="s">
        <v>900</v>
      </c>
      <c r="F77" s="37">
        <f>250* 1518</f>
        <v>379500</v>
      </c>
      <c r="G77" s="327" t="s">
        <v>23</v>
      </c>
      <c r="H77" s="327" t="s">
        <v>41</v>
      </c>
      <c r="I77" s="327">
        <v>1399</v>
      </c>
      <c r="J77" s="21" t="s">
        <v>899</v>
      </c>
      <c r="K77" s="219">
        <v>1</v>
      </c>
      <c r="L77" s="316"/>
      <c r="M77" s="688" t="s">
        <v>329</v>
      </c>
      <c r="N77" s="316"/>
      <c r="O77" s="40"/>
      <c r="P77" s="331"/>
    </row>
    <row r="78" spans="1:16" s="256" customFormat="1" ht="63" customHeight="1">
      <c r="A78" s="285">
        <v>49</v>
      </c>
      <c r="B78" s="237" t="s">
        <v>20</v>
      </c>
      <c r="C78" s="6"/>
      <c r="D78" s="237" t="s">
        <v>40</v>
      </c>
      <c r="E78" s="164" t="s">
        <v>90</v>
      </c>
      <c r="F78" s="37">
        <v>42514</v>
      </c>
      <c r="G78" s="327" t="s">
        <v>23</v>
      </c>
      <c r="H78" s="327" t="s">
        <v>41</v>
      </c>
      <c r="I78" s="327">
        <v>1399</v>
      </c>
      <c r="J78" s="21" t="s">
        <v>899</v>
      </c>
      <c r="K78" s="219">
        <v>1</v>
      </c>
      <c r="L78" s="316"/>
      <c r="M78" s="688" t="s">
        <v>329</v>
      </c>
      <c r="N78" s="316"/>
      <c r="O78" s="40"/>
      <c r="P78" s="819"/>
    </row>
    <row r="79" spans="1:16" s="256" customFormat="1" ht="63" customHeight="1">
      <c r="A79" s="285">
        <v>50</v>
      </c>
      <c r="B79" s="237" t="s">
        <v>20</v>
      </c>
      <c r="C79" s="6"/>
      <c r="D79" s="237" t="s">
        <v>40</v>
      </c>
      <c r="E79" s="40" t="s">
        <v>91</v>
      </c>
      <c r="F79" s="37">
        <f>100*1041</f>
        <v>104100</v>
      </c>
      <c r="G79" s="327" t="s">
        <v>23</v>
      </c>
      <c r="H79" s="327" t="s">
        <v>41</v>
      </c>
      <c r="I79" s="327">
        <v>1399</v>
      </c>
      <c r="J79" s="21" t="s">
        <v>899</v>
      </c>
      <c r="K79" s="219">
        <v>1</v>
      </c>
      <c r="L79" s="316"/>
      <c r="M79" s="688" t="s">
        <v>329</v>
      </c>
      <c r="N79" s="316"/>
      <c r="O79" s="40"/>
      <c r="P79" s="819"/>
    </row>
    <row r="80" spans="1:16" s="256" customFormat="1" ht="63" customHeight="1">
      <c r="A80" s="285">
        <v>51</v>
      </c>
      <c r="B80" s="237" t="s">
        <v>20</v>
      </c>
      <c r="C80" s="6"/>
      <c r="D80" s="237" t="s">
        <v>40</v>
      </c>
      <c r="E80" s="40" t="s">
        <v>92</v>
      </c>
      <c r="F80" s="37">
        <f>150* 729</f>
        <v>109350</v>
      </c>
      <c r="G80" s="327" t="s">
        <v>23</v>
      </c>
      <c r="H80" s="327" t="s">
        <v>41</v>
      </c>
      <c r="I80" s="327">
        <v>1399</v>
      </c>
      <c r="J80" s="21" t="s">
        <v>899</v>
      </c>
      <c r="K80" s="219">
        <v>1</v>
      </c>
      <c r="L80" s="316"/>
      <c r="M80" s="688" t="s">
        <v>329</v>
      </c>
      <c r="N80" s="316"/>
      <c r="O80" s="40"/>
      <c r="P80" s="819"/>
    </row>
    <row r="81" spans="1:17" s="256" customFormat="1" ht="63" customHeight="1">
      <c r="A81" s="285">
        <v>52</v>
      </c>
      <c r="B81" s="237" t="s">
        <v>20</v>
      </c>
      <c r="C81" s="6"/>
      <c r="D81" s="237" t="s">
        <v>40</v>
      </c>
      <c r="E81" s="40" t="s">
        <v>103</v>
      </c>
      <c r="F81" s="37">
        <f>150* 911</f>
        <v>136650</v>
      </c>
      <c r="G81" s="327" t="s">
        <v>23</v>
      </c>
      <c r="H81" s="327" t="s">
        <v>41</v>
      </c>
      <c r="I81" s="327">
        <v>1399</v>
      </c>
      <c r="J81" s="21" t="s">
        <v>899</v>
      </c>
      <c r="K81" s="219">
        <v>1</v>
      </c>
      <c r="L81" s="316"/>
      <c r="M81" s="688" t="s">
        <v>329</v>
      </c>
      <c r="N81" s="316"/>
      <c r="O81" s="40"/>
      <c r="P81" s="819"/>
    </row>
    <row r="82" spans="1:17" s="256" customFormat="1" ht="72">
      <c r="A82" s="285">
        <v>53</v>
      </c>
      <c r="B82" s="237" t="s">
        <v>20</v>
      </c>
      <c r="C82" s="6"/>
      <c r="D82" s="237" t="s">
        <v>40</v>
      </c>
      <c r="E82" s="164" t="s">
        <v>439</v>
      </c>
      <c r="F82" s="37">
        <f>800* 315</f>
        <v>252000</v>
      </c>
      <c r="G82" s="327" t="s">
        <v>23</v>
      </c>
      <c r="H82" s="327" t="s">
        <v>41</v>
      </c>
      <c r="I82" s="327">
        <v>1399</v>
      </c>
      <c r="J82" s="21" t="s">
        <v>899</v>
      </c>
      <c r="K82" s="219">
        <v>1</v>
      </c>
      <c r="L82" s="316"/>
      <c r="M82" s="688" t="s">
        <v>329</v>
      </c>
      <c r="N82" s="316"/>
      <c r="O82" s="40"/>
      <c r="P82" s="819"/>
    </row>
    <row r="83" spans="1:17" s="256" customFormat="1" ht="72">
      <c r="A83" s="285">
        <v>54</v>
      </c>
      <c r="B83" s="237" t="s">
        <v>20</v>
      </c>
      <c r="C83" s="6"/>
      <c r="D83" s="237" t="s">
        <v>40</v>
      </c>
      <c r="E83" s="164" t="s">
        <v>94</v>
      </c>
      <c r="F83" s="37">
        <f>2* 45570</f>
        <v>91140</v>
      </c>
      <c r="G83" s="327" t="s">
        <v>23</v>
      </c>
      <c r="H83" s="327" t="s">
        <v>41</v>
      </c>
      <c r="I83" s="327">
        <v>1399</v>
      </c>
      <c r="J83" s="21" t="s">
        <v>899</v>
      </c>
      <c r="K83" s="219">
        <v>1</v>
      </c>
      <c r="L83" s="316"/>
      <c r="M83" s="688" t="s">
        <v>329</v>
      </c>
      <c r="N83" s="316"/>
      <c r="O83" s="40"/>
      <c r="P83" s="331"/>
    </row>
    <row r="84" spans="1:17" s="256" customFormat="1" ht="72">
      <c r="A84" s="285">
        <v>55</v>
      </c>
      <c r="B84" s="237" t="s">
        <v>20</v>
      </c>
      <c r="C84" s="6"/>
      <c r="D84" s="237" t="s">
        <v>40</v>
      </c>
      <c r="E84" s="164" t="s">
        <v>95</v>
      </c>
      <c r="F84" s="37">
        <f>10* 10416</f>
        <v>104160</v>
      </c>
      <c r="G84" s="327" t="s">
        <v>23</v>
      </c>
      <c r="H84" s="327" t="s">
        <v>41</v>
      </c>
      <c r="I84" s="327">
        <v>1399</v>
      </c>
      <c r="J84" s="21" t="s">
        <v>899</v>
      </c>
      <c r="K84" s="336">
        <v>1</v>
      </c>
      <c r="L84" s="316"/>
      <c r="M84" s="688" t="s">
        <v>329</v>
      </c>
      <c r="N84" s="316"/>
      <c r="O84" s="237"/>
      <c r="P84" s="819"/>
    </row>
    <row r="85" spans="1:17" s="256" customFormat="1" ht="108">
      <c r="A85" s="285">
        <v>56</v>
      </c>
      <c r="B85" s="237" t="s">
        <v>20</v>
      </c>
      <c r="C85" s="6"/>
      <c r="D85" s="237" t="s">
        <v>40</v>
      </c>
      <c r="E85" s="164" t="s">
        <v>104</v>
      </c>
      <c r="F85" s="37">
        <f>10* 36456</f>
        <v>364560</v>
      </c>
      <c r="G85" s="327" t="s">
        <v>23</v>
      </c>
      <c r="H85" s="327" t="s">
        <v>41</v>
      </c>
      <c r="I85" s="327">
        <v>1399</v>
      </c>
      <c r="J85" s="21" t="s">
        <v>25</v>
      </c>
      <c r="K85" s="48">
        <v>1</v>
      </c>
      <c r="L85" s="104" t="s">
        <v>1828</v>
      </c>
      <c r="M85" s="688" t="s">
        <v>329</v>
      </c>
      <c r="N85" s="22" t="s">
        <v>325</v>
      </c>
      <c r="O85" s="22" t="s">
        <v>961</v>
      </c>
      <c r="P85" s="819"/>
    </row>
    <row r="86" spans="1:17" s="256" customFormat="1" ht="69.599999999999994" customHeight="1">
      <c r="A86" s="285">
        <v>57</v>
      </c>
      <c r="B86" s="237" t="s">
        <v>20</v>
      </c>
      <c r="C86" s="6"/>
      <c r="D86" s="237" t="s">
        <v>40</v>
      </c>
      <c r="E86" s="164" t="s">
        <v>96</v>
      </c>
      <c r="F86" s="37">
        <v>2695000</v>
      </c>
      <c r="G86" s="327" t="s">
        <v>23</v>
      </c>
      <c r="H86" s="327" t="s">
        <v>41</v>
      </c>
      <c r="I86" s="327">
        <v>1399</v>
      </c>
      <c r="J86" s="21" t="s">
        <v>25</v>
      </c>
      <c r="K86" s="336">
        <v>1</v>
      </c>
      <c r="L86" s="27" t="s">
        <v>1828</v>
      </c>
      <c r="M86" s="688" t="s">
        <v>329</v>
      </c>
      <c r="N86" s="326" t="s">
        <v>325</v>
      </c>
      <c r="O86" s="22" t="s">
        <v>961</v>
      </c>
      <c r="P86" s="331"/>
    </row>
    <row r="87" spans="1:17" s="256" customFormat="1" ht="67.150000000000006" customHeight="1">
      <c r="A87" s="285">
        <v>58</v>
      </c>
      <c r="B87" s="323" t="s">
        <v>20</v>
      </c>
      <c r="C87" s="6"/>
      <c r="D87" s="323" t="s">
        <v>40</v>
      </c>
      <c r="E87" s="164" t="s">
        <v>407</v>
      </c>
      <c r="F87" s="184">
        <f>13* 66000</f>
        <v>858000</v>
      </c>
      <c r="G87" s="327" t="s">
        <v>23</v>
      </c>
      <c r="H87" s="327" t="s">
        <v>41</v>
      </c>
      <c r="I87" s="327">
        <v>1399</v>
      </c>
      <c r="J87" s="21" t="s">
        <v>25</v>
      </c>
      <c r="K87" s="219">
        <v>1</v>
      </c>
      <c r="L87" s="316"/>
      <c r="M87" s="688" t="s">
        <v>329</v>
      </c>
      <c r="N87" s="316"/>
      <c r="O87" s="237"/>
      <c r="P87" s="819"/>
    </row>
    <row r="88" spans="1:17" s="256" customFormat="1" ht="72">
      <c r="A88" s="285">
        <v>59</v>
      </c>
      <c r="B88" s="323" t="s">
        <v>20</v>
      </c>
      <c r="C88" s="6"/>
      <c r="D88" s="323" t="s">
        <v>40</v>
      </c>
      <c r="E88" s="164" t="s">
        <v>105</v>
      </c>
      <c r="F88" s="184">
        <f>26*30000</f>
        <v>780000</v>
      </c>
      <c r="G88" s="327" t="s">
        <v>23</v>
      </c>
      <c r="H88" s="327" t="s">
        <v>41</v>
      </c>
      <c r="I88" s="327">
        <v>1399</v>
      </c>
      <c r="J88" s="21" t="s">
        <v>25</v>
      </c>
      <c r="K88" s="219">
        <v>1</v>
      </c>
      <c r="L88" s="316"/>
      <c r="M88" s="688" t="s">
        <v>329</v>
      </c>
      <c r="N88" s="316"/>
      <c r="O88" s="237"/>
      <c r="P88" s="819"/>
    </row>
    <row r="89" spans="1:17" s="256" customFormat="1" ht="72">
      <c r="A89" s="285">
        <v>60</v>
      </c>
      <c r="B89" s="323" t="s">
        <v>20</v>
      </c>
      <c r="C89" s="6" t="s">
        <v>898</v>
      </c>
      <c r="D89" s="323" t="s">
        <v>40</v>
      </c>
      <c r="E89" s="164" t="s">
        <v>106</v>
      </c>
      <c r="F89" s="184">
        <f>76500000/3</f>
        <v>25500000</v>
      </c>
      <c r="G89" s="327" t="s">
        <v>23</v>
      </c>
      <c r="H89" s="327" t="s">
        <v>41</v>
      </c>
      <c r="I89" s="327">
        <v>1399</v>
      </c>
      <c r="J89" s="21" t="s">
        <v>25</v>
      </c>
      <c r="K89" s="219">
        <v>1</v>
      </c>
      <c r="L89" s="229"/>
      <c r="M89" s="688" t="s">
        <v>329</v>
      </c>
      <c r="N89" s="229"/>
      <c r="O89" s="323"/>
      <c r="P89" s="819"/>
    </row>
    <row r="90" spans="1:17" s="256" customFormat="1" ht="84.6" customHeight="1">
      <c r="A90" s="285">
        <v>61</v>
      </c>
      <c r="B90" s="323" t="s">
        <v>20</v>
      </c>
      <c r="C90" s="6"/>
      <c r="D90" s="323" t="s">
        <v>40</v>
      </c>
      <c r="E90" s="164" t="s">
        <v>107</v>
      </c>
      <c r="F90" s="184"/>
      <c r="G90" s="327" t="s">
        <v>23</v>
      </c>
      <c r="H90" s="327" t="s">
        <v>41</v>
      </c>
      <c r="I90" s="327">
        <v>1399</v>
      </c>
      <c r="J90" s="21" t="s">
        <v>25</v>
      </c>
      <c r="K90" s="219">
        <v>1</v>
      </c>
      <c r="L90" s="316" t="s">
        <v>1828</v>
      </c>
      <c r="M90" s="688" t="s">
        <v>329</v>
      </c>
      <c r="N90" s="326" t="s">
        <v>325</v>
      </c>
      <c r="O90" s="22" t="s">
        <v>961</v>
      </c>
      <c r="P90" s="819"/>
    </row>
    <row r="91" spans="1:17" s="256" customFormat="1" ht="223.9" customHeight="1">
      <c r="A91" s="285">
        <v>62</v>
      </c>
      <c r="B91" s="323" t="s">
        <v>20</v>
      </c>
      <c r="C91" s="6" t="s">
        <v>897</v>
      </c>
      <c r="D91" s="323" t="s">
        <v>55</v>
      </c>
      <c r="E91" s="323" t="s">
        <v>896</v>
      </c>
      <c r="F91" s="184">
        <v>368000</v>
      </c>
      <c r="G91" s="327" t="s">
        <v>23</v>
      </c>
      <c r="H91" s="327" t="s">
        <v>77</v>
      </c>
      <c r="I91" s="327">
        <v>1399</v>
      </c>
      <c r="J91" s="21" t="s">
        <v>25</v>
      </c>
      <c r="K91" s="219">
        <v>1</v>
      </c>
      <c r="L91" s="316"/>
      <c r="M91" s="688" t="s">
        <v>329</v>
      </c>
      <c r="N91" s="316"/>
      <c r="O91" s="323"/>
      <c r="P91" s="110"/>
      <c r="Q91" s="337"/>
    </row>
    <row r="92" spans="1:17" s="34" customFormat="1" ht="61.15" customHeight="1">
      <c r="A92" s="285">
        <v>63</v>
      </c>
      <c r="B92" s="237" t="s">
        <v>20</v>
      </c>
      <c r="C92" s="6"/>
      <c r="D92" s="237" t="s">
        <v>108</v>
      </c>
      <c r="E92" s="237" t="s">
        <v>109</v>
      </c>
      <c r="F92" s="37">
        <v>1000000</v>
      </c>
      <c r="G92" s="327" t="s">
        <v>23</v>
      </c>
      <c r="H92" s="327" t="s">
        <v>77</v>
      </c>
      <c r="I92" s="327">
        <v>1399</v>
      </c>
      <c r="J92" s="21" t="s">
        <v>25</v>
      </c>
      <c r="K92" s="336" t="s">
        <v>17</v>
      </c>
      <c r="L92" s="316" t="s">
        <v>3</v>
      </c>
      <c r="M92" s="688" t="s">
        <v>329</v>
      </c>
      <c r="N92" s="22" t="s">
        <v>110</v>
      </c>
      <c r="O92" s="323" t="s">
        <v>1829</v>
      </c>
      <c r="P92" s="331"/>
    </row>
    <row r="93" spans="1:17" ht="72">
      <c r="A93" s="285">
        <v>64</v>
      </c>
      <c r="B93" s="6" t="s">
        <v>75</v>
      </c>
      <c r="C93" s="6"/>
      <c r="D93" s="237" t="s">
        <v>76</v>
      </c>
      <c r="E93" s="237" t="s">
        <v>895</v>
      </c>
      <c r="F93" s="35">
        <v>121772307</v>
      </c>
      <c r="G93" s="330" t="s">
        <v>23</v>
      </c>
      <c r="H93" s="33" t="s">
        <v>77</v>
      </c>
      <c r="I93" s="330">
        <v>1399</v>
      </c>
      <c r="J93" s="22" t="s">
        <v>25</v>
      </c>
      <c r="K93" s="219">
        <v>1</v>
      </c>
      <c r="L93" s="33"/>
      <c r="M93" s="688" t="s">
        <v>17</v>
      </c>
      <c r="N93" s="22"/>
      <c r="O93" s="22"/>
      <c r="P93" s="33"/>
    </row>
    <row r="94" spans="1:17" s="256" customFormat="1" ht="91.15" hidden="1" customHeight="1">
      <c r="A94" s="285">
        <v>65</v>
      </c>
      <c r="B94" s="237" t="s">
        <v>20</v>
      </c>
      <c r="C94" s="6" t="s">
        <v>894</v>
      </c>
      <c r="D94" s="237" t="s">
        <v>111</v>
      </c>
      <c r="E94" s="237" t="s">
        <v>893</v>
      </c>
      <c r="F94" s="37">
        <v>740000</v>
      </c>
      <c r="G94" s="327" t="s">
        <v>23</v>
      </c>
      <c r="H94" s="327" t="s">
        <v>77</v>
      </c>
      <c r="I94" s="327">
        <v>1399</v>
      </c>
      <c r="J94" s="21" t="s">
        <v>25</v>
      </c>
      <c r="K94" s="219">
        <v>1</v>
      </c>
      <c r="L94" s="223" t="s">
        <v>17</v>
      </c>
      <c r="M94" s="688" t="s">
        <v>329</v>
      </c>
      <c r="N94" s="223"/>
      <c r="O94" s="223"/>
      <c r="P94" s="331"/>
    </row>
    <row r="95" spans="1:17" s="256" customFormat="1" ht="54" hidden="1">
      <c r="A95" s="285">
        <v>66</v>
      </c>
      <c r="B95" s="237" t="s">
        <v>20</v>
      </c>
      <c r="C95" s="6" t="s">
        <v>404</v>
      </c>
      <c r="D95" s="237" t="s">
        <v>111</v>
      </c>
      <c r="E95" s="237" t="s">
        <v>112</v>
      </c>
      <c r="F95" s="37">
        <v>240000</v>
      </c>
      <c r="G95" s="327" t="s">
        <v>23</v>
      </c>
      <c r="H95" s="327" t="s">
        <v>77</v>
      </c>
      <c r="I95" s="327">
        <v>1399</v>
      </c>
      <c r="J95" s="21" t="s">
        <v>25</v>
      </c>
      <c r="K95" s="219">
        <v>1</v>
      </c>
      <c r="L95" s="223"/>
      <c r="M95" s="688" t="s">
        <v>329</v>
      </c>
      <c r="N95" s="223"/>
      <c r="O95" s="223"/>
      <c r="P95" s="331"/>
    </row>
    <row r="96" spans="1:17" s="256" customFormat="1" ht="51.6" hidden="1" customHeight="1">
      <c r="A96" s="285">
        <v>67</v>
      </c>
      <c r="B96" s="237" t="s">
        <v>20</v>
      </c>
      <c r="C96" s="6" t="s">
        <v>892</v>
      </c>
      <c r="D96" s="237" t="s">
        <v>111</v>
      </c>
      <c r="E96" s="237" t="s">
        <v>113</v>
      </c>
      <c r="F96" s="37">
        <v>120000</v>
      </c>
      <c r="G96" s="327" t="s">
        <v>23</v>
      </c>
      <c r="H96" s="327" t="s">
        <v>77</v>
      </c>
      <c r="I96" s="327">
        <v>1399</v>
      </c>
      <c r="J96" s="21" t="s">
        <v>25</v>
      </c>
      <c r="K96" s="219">
        <v>1</v>
      </c>
      <c r="L96" s="223"/>
      <c r="M96" s="688" t="s">
        <v>329</v>
      </c>
      <c r="N96" s="223"/>
      <c r="O96" s="223"/>
      <c r="P96" s="331"/>
    </row>
    <row r="97" spans="1:16" ht="60" hidden="1" customHeight="1">
      <c r="A97" s="285">
        <v>68</v>
      </c>
      <c r="B97" s="237" t="s">
        <v>20</v>
      </c>
      <c r="C97" s="6"/>
      <c r="D97" s="196" t="s">
        <v>73</v>
      </c>
      <c r="E97" s="237" t="s">
        <v>74</v>
      </c>
      <c r="F97" s="290"/>
      <c r="G97" s="327" t="s">
        <v>23</v>
      </c>
      <c r="H97" s="327" t="s">
        <v>77</v>
      </c>
      <c r="I97" s="327">
        <v>1399</v>
      </c>
      <c r="J97" s="21" t="s">
        <v>25</v>
      </c>
      <c r="K97" s="336" t="s">
        <v>17</v>
      </c>
      <c r="L97" s="22" t="s">
        <v>3</v>
      </c>
      <c r="M97" s="688" t="s">
        <v>329</v>
      </c>
      <c r="N97" s="326" t="s">
        <v>581</v>
      </c>
      <c r="O97" s="326" t="s">
        <v>323</v>
      </c>
      <c r="P97" s="324"/>
    </row>
    <row r="98" spans="1:16" ht="60" hidden="1" customHeight="1">
      <c r="A98" s="285">
        <v>69</v>
      </c>
      <c r="B98" s="237" t="s">
        <v>20</v>
      </c>
      <c r="C98" s="6"/>
      <c r="D98" s="196" t="s">
        <v>73</v>
      </c>
      <c r="E98" s="237" t="s">
        <v>97</v>
      </c>
      <c r="F98" s="37"/>
      <c r="G98" s="327" t="s">
        <v>23</v>
      </c>
      <c r="H98" s="327" t="s">
        <v>77</v>
      </c>
      <c r="I98" s="327">
        <v>1399</v>
      </c>
      <c r="J98" s="21" t="s">
        <v>25</v>
      </c>
      <c r="K98" s="336" t="s">
        <v>17</v>
      </c>
      <c r="L98" s="22" t="s">
        <v>3</v>
      </c>
      <c r="M98" s="688" t="s">
        <v>329</v>
      </c>
      <c r="N98" s="326" t="s">
        <v>581</v>
      </c>
      <c r="O98" s="326" t="s">
        <v>323</v>
      </c>
      <c r="P98" s="324"/>
    </row>
    <row r="99" spans="1:16" s="256" customFormat="1" ht="91.15" customHeight="1">
      <c r="A99" s="285">
        <v>70</v>
      </c>
      <c r="B99" s="237" t="s">
        <v>20</v>
      </c>
      <c r="C99" s="6" t="s">
        <v>894</v>
      </c>
      <c r="D99" s="237" t="s">
        <v>111</v>
      </c>
      <c r="E99" s="237" t="s">
        <v>893</v>
      </c>
      <c r="F99" s="37">
        <v>740000</v>
      </c>
      <c r="G99" s="354" t="s">
        <v>23</v>
      </c>
      <c r="H99" s="354" t="s">
        <v>77</v>
      </c>
      <c r="I99" s="354">
        <v>1399</v>
      </c>
      <c r="J99" s="458" t="s">
        <v>25</v>
      </c>
      <c r="K99" s="219">
        <v>1</v>
      </c>
      <c r="L99" s="223" t="s">
        <v>17</v>
      </c>
      <c r="M99" s="688" t="s">
        <v>329</v>
      </c>
      <c r="N99" s="223"/>
      <c r="O99" s="223"/>
      <c r="P99" s="459"/>
    </row>
    <row r="100" spans="1:16" s="256" customFormat="1" ht="54">
      <c r="A100" s="285">
        <v>71</v>
      </c>
      <c r="B100" s="237" t="s">
        <v>20</v>
      </c>
      <c r="C100" s="6" t="s">
        <v>404</v>
      </c>
      <c r="D100" s="237" t="s">
        <v>111</v>
      </c>
      <c r="E100" s="237" t="s">
        <v>112</v>
      </c>
      <c r="F100" s="37">
        <v>240000</v>
      </c>
      <c r="G100" s="354" t="s">
        <v>23</v>
      </c>
      <c r="H100" s="354" t="s">
        <v>77</v>
      </c>
      <c r="I100" s="354">
        <v>1399</v>
      </c>
      <c r="J100" s="458" t="s">
        <v>25</v>
      </c>
      <c r="K100" s="219">
        <v>1</v>
      </c>
      <c r="L100" s="223"/>
      <c r="M100" s="688" t="s">
        <v>329</v>
      </c>
      <c r="N100" s="223"/>
      <c r="O100" s="223"/>
      <c r="P100" s="459"/>
    </row>
    <row r="101" spans="1:16" s="256" customFormat="1" ht="51.6" customHeight="1">
      <c r="A101" s="285">
        <v>72</v>
      </c>
      <c r="B101" s="237" t="s">
        <v>20</v>
      </c>
      <c r="C101" s="6" t="s">
        <v>892</v>
      </c>
      <c r="D101" s="237" t="s">
        <v>111</v>
      </c>
      <c r="E101" s="237" t="s">
        <v>113</v>
      </c>
      <c r="F101" s="37">
        <v>120000</v>
      </c>
      <c r="G101" s="354" t="s">
        <v>23</v>
      </c>
      <c r="H101" s="354" t="s">
        <v>77</v>
      </c>
      <c r="I101" s="354">
        <v>1399</v>
      </c>
      <c r="J101" s="458" t="s">
        <v>25</v>
      </c>
      <c r="K101" s="219">
        <v>1</v>
      </c>
      <c r="L101" s="223"/>
      <c r="M101" s="688" t="s">
        <v>329</v>
      </c>
      <c r="N101" s="223"/>
      <c r="O101" s="223"/>
      <c r="P101" s="459"/>
    </row>
    <row r="102" spans="1:16" s="552" customFormat="1" ht="60" customHeight="1">
      <c r="A102" s="285">
        <v>73</v>
      </c>
      <c r="B102" s="237" t="s">
        <v>20</v>
      </c>
      <c r="C102" s="6"/>
      <c r="D102" s="196" t="s">
        <v>73</v>
      </c>
      <c r="E102" s="237" t="s">
        <v>74</v>
      </c>
      <c r="F102" s="290">
        <v>757907.22600000002</v>
      </c>
      <c r="G102" s="354" t="s">
        <v>23</v>
      </c>
      <c r="H102" s="354" t="s">
        <v>77</v>
      </c>
      <c r="I102" s="354">
        <v>1399</v>
      </c>
      <c r="J102" s="551" t="s">
        <v>25</v>
      </c>
      <c r="K102" s="336" t="s">
        <v>17</v>
      </c>
      <c r="L102" s="22" t="s">
        <v>3</v>
      </c>
      <c r="M102" s="22"/>
      <c r="N102" s="623" t="s">
        <v>581</v>
      </c>
      <c r="O102" s="196" t="s">
        <v>1829</v>
      </c>
      <c r="P102" s="553"/>
    </row>
    <row r="103" spans="1:16" s="552" customFormat="1" ht="60" customHeight="1">
      <c r="A103" s="285">
        <v>74</v>
      </c>
      <c r="B103" s="237" t="s">
        <v>20</v>
      </c>
      <c r="C103" s="6"/>
      <c r="D103" s="196" t="s">
        <v>73</v>
      </c>
      <c r="E103" s="237" t="s">
        <v>97</v>
      </c>
      <c r="F103" s="37">
        <v>1282840</v>
      </c>
      <c r="G103" s="354" t="s">
        <v>23</v>
      </c>
      <c r="H103" s="354" t="s">
        <v>77</v>
      </c>
      <c r="I103" s="354">
        <v>1399</v>
      </c>
      <c r="J103" s="551" t="s">
        <v>25</v>
      </c>
      <c r="K103" s="336" t="s">
        <v>17</v>
      </c>
      <c r="L103" s="22" t="s">
        <v>3</v>
      </c>
      <c r="M103" s="22"/>
      <c r="N103" s="623" t="s">
        <v>581</v>
      </c>
      <c r="O103" s="196" t="s">
        <v>1829</v>
      </c>
      <c r="P103" s="553"/>
    </row>
  </sheetData>
  <autoFilter ref="D1:D98"/>
  <mergeCells count="22">
    <mergeCell ref="P87:P90"/>
    <mergeCell ref="P70:P71"/>
    <mergeCell ref="P72:P74"/>
    <mergeCell ref="P75:P76"/>
    <mergeCell ref="P78:P80"/>
    <mergeCell ref="P81:P82"/>
    <mergeCell ref="P84:P85"/>
    <mergeCell ref="P63:P64"/>
    <mergeCell ref="A1:P4"/>
    <mergeCell ref="A5:A6"/>
    <mergeCell ref="B5:B6"/>
    <mergeCell ref="C5:C6"/>
    <mergeCell ref="D5:D6"/>
    <mergeCell ref="E5:E6"/>
    <mergeCell ref="F5:H5"/>
    <mergeCell ref="I5:I6"/>
    <mergeCell ref="J5:J6"/>
    <mergeCell ref="K5:K6"/>
    <mergeCell ref="L5:M5"/>
    <mergeCell ref="N5:N6"/>
    <mergeCell ref="O5:O6"/>
    <mergeCell ref="P5:P6"/>
  </mergeCells>
  <printOptions horizontalCentered="1"/>
  <pageMargins left="0.2" right="0.2" top="0.5" bottom="0.5" header="0.3" footer="0.3"/>
  <pageSetup paperSize="9" scale="62"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sheetPr>
    <tabColor rgb="FF92D050"/>
  </sheetPr>
  <dimension ref="A1:AE106"/>
  <sheetViews>
    <sheetView rightToLeft="1" view="pageBreakPreview" zoomScale="84" zoomScaleNormal="85" zoomScaleSheetLayoutView="84" workbookViewId="0">
      <pane ySplit="6" topLeftCell="A104" activePane="bottomLeft" state="frozen"/>
      <selection pane="bottomLeft" activeCell="E49" sqref="E49"/>
    </sheetView>
  </sheetViews>
  <sheetFormatPr defaultColWidth="9.140625" defaultRowHeight="15"/>
  <cols>
    <col min="1" max="1" width="6.7109375" style="1" customWidth="1"/>
    <col min="2" max="2" width="14.5703125" style="10" customWidth="1"/>
    <col min="3" max="3" width="8.5703125" style="10" customWidth="1"/>
    <col min="4" max="4" width="17.7109375" style="10" customWidth="1"/>
    <col min="5" max="5" width="31.7109375" style="8" customWidth="1"/>
    <col min="6" max="6" width="16" style="298" customWidth="1"/>
    <col min="7" max="8" width="10.5703125" style="2" customWidth="1"/>
    <col min="9" max="9" width="10" style="1" customWidth="1"/>
    <col min="10" max="10" width="13.7109375" style="1" customWidth="1"/>
    <col min="11" max="11" width="10.85546875" style="1" customWidth="1"/>
    <col min="12" max="12" width="13" style="9" customWidth="1"/>
    <col min="13" max="13" width="16" style="9" customWidth="1"/>
    <col min="14" max="14" width="20.42578125" style="9" customWidth="1"/>
    <col min="15" max="15" width="19.28515625" style="9" customWidth="1"/>
    <col min="16" max="16" width="12.140625" style="319" customWidth="1"/>
    <col min="17" max="16384" width="9.140625" style="319"/>
  </cols>
  <sheetData>
    <row r="1" spans="1:16" hidden="1">
      <c r="A1" s="788" t="s">
        <v>1804</v>
      </c>
      <c r="B1" s="789"/>
      <c r="C1" s="789"/>
      <c r="D1" s="789"/>
      <c r="E1" s="789"/>
      <c r="F1" s="789"/>
      <c r="G1" s="789"/>
      <c r="H1" s="789"/>
      <c r="I1" s="789"/>
      <c r="J1" s="789"/>
      <c r="K1" s="789"/>
      <c r="L1" s="789"/>
      <c r="M1" s="789"/>
      <c r="N1" s="789"/>
      <c r="O1" s="789"/>
      <c r="P1" s="789"/>
    </row>
    <row r="2" spans="1:16">
      <c r="A2" s="789"/>
      <c r="B2" s="789"/>
      <c r="C2" s="789"/>
      <c r="D2" s="789"/>
      <c r="E2" s="789"/>
      <c r="F2" s="789"/>
      <c r="G2" s="789"/>
      <c r="H2" s="789"/>
      <c r="I2" s="789"/>
      <c r="J2" s="789"/>
      <c r="K2" s="789"/>
      <c r="L2" s="789"/>
      <c r="M2" s="789"/>
      <c r="N2" s="789"/>
      <c r="O2" s="789"/>
      <c r="P2" s="789"/>
    </row>
    <row r="3" spans="1:16">
      <c r="A3" s="789"/>
      <c r="B3" s="789"/>
      <c r="C3" s="789"/>
      <c r="D3" s="789"/>
      <c r="E3" s="789"/>
      <c r="F3" s="789"/>
      <c r="G3" s="789"/>
      <c r="H3" s="789"/>
      <c r="I3" s="789"/>
      <c r="J3" s="789"/>
      <c r="K3" s="789"/>
      <c r="L3" s="789"/>
      <c r="M3" s="789"/>
      <c r="N3" s="789"/>
      <c r="O3" s="789"/>
      <c r="P3" s="789"/>
    </row>
    <row r="4" spans="1:16" ht="39" customHeight="1">
      <c r="A4" s="790"/>
      <c r="B4" s="790"/>
      <c r="C4" s="790"/>
      <c r="D4" s="790"/>
      <c r="E4" s="790"/>
      <c r="F4" s="790"/>
      <c r="G4" s="790"/>
      <c r="H4" s="790"/>
      <c r="I4" s="790"/>
      <c r="J4" s="790"/>
      <c r="K4" s="790"/>
      <c r="L4" s="790"/>
      <c r="M4" s="790"/>
      <c r="N4" s="790"/>
      <c r="O4" s="790"/>
      <c r="P4" s="790"/>
    </row>
    <row r="5" spans="1:16" ht="23.45" customHeight="1">
      <c r="A5" s="820" t="s">
        <v>0</v>
      </c>
      <c r="B5" s="820" t="s">
        <v>14</v>
      </c>
      <c r="C5" s="820" t="s">
        <v>18</v>
      </c>
      <c r="D5" s="820" t="s">
        <v>1</v>
      </c>
      <c r="E5" s="820" t="s">
        <v>15</v>
      </c>
      <c r="F5" s="820" t="s">
        <v>9</v>
      </c>
      <c r="G5" s="820"/>
      <c r="H5" s="820"/>
      <c r="I5" s="820" t="s">
        <v>7</v>
      </c>
      <c r="J5" s="820" t="s">
        <v>6</v>
      </c>
      <c r="K5" s="820" t="s">
        <v>16</v>
      </c>
      <c r="L5" s="820" t="s">
        <v>2</v>
      </c>
      <c r="M5" s="820"/>
      <c r="N5" s="820" t="s">
        <v>5</v>
      </c>
      <c r="O5" s="821" t="s">
        <v>13</v>
      </c>
      <c r="P5" s="821" t="s">
        <v>8</v>
      </c>
    </row>
    <row r="6" spans="1:16" ht="47.45" customHeight="1">
      <c r="A6" s="820"/>
      <c r="B6" s="820"/>
      <c r="C6" s="820"/>
      <c r="D6" s="820"/>
      <c r="E6" s="820"/>
      <c r="F6" s="322" t="s">
        <v>10</v>
      </c>
      <c r="G6" s="322" t="s">
        <v>11</v>
      </c>
      <c r="H6" s="322" t="s">
        <v>12</v>
      </c>
      <c r="I6" s="820"/>
      <c r="J6" s="820"/>
      <c r="K6" s="820"/>
      <c r="L6" s="322" t="s">
        <v>3</v>
      </c>
      <c r="M6" s="322" t="s">
        <v>4</v>
      </c>
      <c r="N6" s="820"/>
      <c r="O6" s="822"/>
      <c r="P6" s="822"/>
    </row>
    <row r="7" spans="1:16" s="5" customFormat="1" ht="45.6" customHeight="1">
      <c r="A7" s="571">
        <v>1</v>
      </c>
      <c r="B7" s="237" t="s">
        <v>20</v>
      </c>
      <c r="C7" s="164" t="s">
        <v>1478</v>
      </c>
      <c r="D7" s="196" t="s">
        <v>320</v>
      </c>
      <c r="E7" s="40" t="s">
        <v>1479</v>
      </c>
      <c r="F7" s="37">
        <v>240466.66666666666</v>
      </c>
      <c r="G7" s="571" t="s">
        <v>23</v>
      </c>
      <c r="H7" s="571" t="s">
        <v>77</v>
      </c>
      <c r="I7" s="571">
        <v>1399</v>
      </c>
      <c r="J7" s="571" t="s">
        <v>852</v>
      </c>
      <c r="K7" s="39">
        <v>1</v>
      </c>
      <c r="L7" s="164"/>
      <c r="M7" s="164" t="s">
        <v>370</v>
      </c>
      <c r="N7" s="164"/>
      <c r="O7" s="164"/>
      <c r="P7" s="571"/>
    </row>
    <row r="8" spans="1:16" s="5" customFormat="1" ht="44.45" customHeight="1">
      <c r="A8" s="571">
        <v>2</v>
      </c>
      <c r="B8" s="237" t="s">
        <v>20</v>
      </c>
      <c r="C8" s="164"/>
      <c r="D8" s="196" t="s">
        <v>320</v>
      </c>
      <c r="E8" s="40" t="s">
        <v>1480</v>
      </c>
      <c r="F8" s="37">
        <v>400000</v>
      </c>
      <c r="G8" s="571" t="s">
        <v>23</v>
      </c>
      <c r="H8" s="571" t="s">
        <v>77</v>
      </c>
      <c r="I8" s="571">
        <v>1399</v>
      </c>
      <c r="J8" s="571" t="s">
        <v>852</v>
      </c>
      <c r="K8" s="39">
        <v>1</v>
      </c>
      <c r="L8" s="164"/>
      <c r="M8" s="164" t="s">
        <v>370</v>
      </c>
      <c r="N8" s="164"/>
      <c r="O8" s="164"/>
      <c r="P8" s="571"/>
    </row>
    <row r="9" spans="1:16" s="5" customFormat="1" ht="36">
      <c r="A9" s="698">
        <v>3</v>
      </c>
      <c r="B9" s="237" t="s">
        <v>20</v>
      </c>
      <c r="C9" s="164"/>
      <c r="D9" s="196" t="s">
        <v>320</v>
      </c>
      <c r="E9" s="349" t="s">
        <v>1481</v>
      </c>
      <c r="F9" s="37">
        <v>266667</v>
      </c>
      <c r="G9" s="571" t="s">
        <v>23</v>
      </c>
      <c r="H9" s="571" t="s">
        <v>77</v>
      </c>
      <c r="I9" s="571">
        <v>1399</v>
      </c>
      <c r="J9" s="571" t="s">
        <v>852</v>
      </c>
      <c r="K9" s="39">
        <v>1</v>
      </c>
      <c r="L9" s="164"/>
      <c r="M9" s="164" t="s">
        <v>370</v>
      </c>
      <c r="N9" s="164"/>
      <c r="O9" s="164"/>
      <c r="P9" s="571"/>
    </row>
    <row r="10" spans="1:16" s="5" customFormat="1" ht="36">
      <c r="A10" s="698">
        <v>4</v>
      </c>
      <c r="B10" s="237" t="s">
        <v>20</v>
      </c>
      <c r="C10" s="164"/>
      <c r="D10" s="196" t="s">
        <v>320</v>
      </c>
      <c r="E10" s="40" t="s">
        <v>1482</v>
      </c>
      <c r="F10" s="30">
        <v>20000</v>
      </c>
      <c r="G10" s="571" t="s">
        <v>23</v>
      </c>
      <c r="H10" s="571" t="s">
        <v>77</v>
      </c>
      <c r="I10" s="571">
        <v>1399</v>
      </c>
      <c r="J10" s="571" t="s">
        <v>852</v>
      </c>
      <c r="K10" s="39">
        <v>1</v>
      </c>
      <c r="L10" s="164"/>
      <c r="M10" s="164" t="s">
        <v>370</v>
      </c>
      <c r="N10" s="164"/>
      <c r="O10" s="164"/>
      <c r="P10" s="571"/>
    </row>
    <row r="11" spans="1:16" s="574" customFormat="1" ht="72">
      <c r="A11" s="698">
        <v>5</v>
      </c>
      <c r="B11" s="237" t="s">
        <v>20</v>
      </c>
      <c r="C11" s="237" t="s">
        <v>1483</v>
      </c>
      <c r="D11" s="237" t="s">
        <v>578</v>
      </c>
      <c r="E11" s="40" t="s">
        <v>877</v>
      </c>
      <c r="F11" s="37">
        <v>89238693</v>
      </c>
      <c r="G11" s="571" t="s">
        <v>23</v>
      </c>
      <c r="H11" s="182" t="s">
        <v>747</v>
      </c>
      <c r="I11" s="571">
        <v>1399</v>
      </c>
      <c r="J11" s="571" t="s">
        <v>852</v>
      </c>
      <c r="K11" s="275">
        <v>1</v>
      </c>
      <c r="L11" s="251"/>
      <c r="M11" s="164" t="s">
        <v>370</v>
      </c>
      <c r="N11" s="636"/>
      <c r="O11" s="237"/>
      <c r="P11" s="182"/>
    </row>
    <row r="12" spans="1:16" s="574" customFormat="1" ht="90">
      <c r="A12" s="698">
        <v>6</v>
      </c>
      <c r="B12" s="237" t="s">
        <v>20</v>
      </c>
      <c r="C12" s="237" t="s">
        <v>1484</v>
      </c>
      <c r="D12" s="237" t="s">
        <v>578</v>
      </c>
      <c r="E12" s="40" t="s">
        <v>876</v>
      </c>
      <c r="F12" s="37">
        <v>258477733</v>
      </c>
      <c r="G12" s="571" t="s">
        <v>23</v>
      </c>
      <c r="H12" s="182" t="s">
        <v>747</v>
      </c>
      <c r="I12" s="571">
        <v>1399</v>
      </c>
      <c r="J12" s="571" t="s">
        <v>852</v>
      </c>
      <c r="K12" s="275">
        <v>1</v>
      </c>
      <c r="L12" s="251"/>
      <c r="M12" s="164" t="s">
        <v>370</v>
      </c>
      <c r="N12" s="636"/>
      <c r="O12" s="237"/>
      <c r="P12" s="182"/>
    </row>
    <row r="13" spans="1:16" s="574" customFormat="1" ht="36">
      <c r="A13" s="698">
        <v>7</v>
      </c>
      <c r="B13" s="237" t="s">
        <v>20</v>
      </c>
      <c r="C13" s="237" t="s">
        <v>1485</v>
      </c>
      <c r="D13" s="237" t="s">
        <v>578</v>
      </c>
      <c r="E13" s="591" t="s">
        <v>875</v>
      </c>
      <c r="F13" s="37">
        <v>6820260.2800000003</v>
      </c>
      <c r="G13" s="571" t="s">
        <v>23</v>
      </c>
      <c r="H13" s="182" t="s">
        <v>747</v>
      </c>
      <c r="I13" s="571">
        <v>1399</v>
      </c>
      <c r="J13" s="571" t="s">
        <v>852</v>
      </c>
      <c r="K13" s="39">
        <v>1</v>
      </c>
      <c r="L13" s="315"/>
      <c r="M13" s="164" t="s">
        <v>370</v>
      </c>
      <c r="N13" s="237"/>
      <c r="O13" s="237"/>
      <c r="P13" s="182"/>
    </row>
    <row r="14" spans="1:16" s="574" customFormat="1" ht="36">
      <c r="A14" s="698">
        <v>8</v>
      </c>
      <c r="B14" s="237" t="s">
        <v>20</v>
      </c>
      <c r="C14" s="237" t="s">
        <v>1485</v>
      </c>
      <c r="D14" s="237" t="s">
        <v>578</v>
      </c>
      <c r="E14" s="591" t="s">
        <v>874</v>
      </c>
      <c r="F14" s="37">
        <v>5308615.0549999997</v>
      </c>
      <c r="G14" s="571" t="s">
        <v>23</v>
      </c>
      <c r="H14" s="182" t="s">
        <v>747</v>
      </c>
      <c r="I14" s="571">
        <v>1399</v>
      </c>
      <c r="J14" s="571" t="s">
        <v>852</v>
      </c>
      <c r="K14" s="39">
        <v>1</v>
      </c>
      <c r="L14" s="315"/>
      <c r="M14" s="164" t="s">
        <v>370</v>
      </c>
      <c r="N14" s="237"/>
      <c r="O14" s="237"/>
      <c r="P14" s="182"/>
    </row>
    <row r="15" spans="1:16" s="574" customFormat="1" ht="36">
      <c r="A15" s="698">
        <v>9</v>
      </c>
      <c r="B15" s="237" t="s">
        <v>20</v>
      </c>
      <c r="C15" s="237" t="s">
        <v>1485</v>
      </c>
      <c r="D15" s="237" t="s">
        <v>578</v>
      </c>
      <c r="E15" s="591" t="s">
        <v>873</v>
      </c>
      <c r="F15" s="37">
        <v>6062176.666666667</v>
      </c>
      <c r="G15" s="571" t="s">
        <v>23</v>
      </c>
      <c r="H15" s="182" t="s">
        <v>747</v>
      </c>
      <c r="I15" s="571">
        <v>1399</v>
      </c>
      <c r="J15" s="571" t="s">
        <v>852</v>
      </c>
      <c r="K15" s="39">
        <v>1</v>
      </c>
      <c r="L15" s="315"/>
      <c r="M15" s="164" t="s">
        <v>370</v>
      </c>
      <c r="N15" s="237"/>
      <c r="O15" s="237"/>
      <c r="P15" s="182"/>
    </row>
    <row r="16" spans="1:16" s="574" customFormat="1" ht="36">
      <c r="A16" s="698">
        <v>10</v>
      </c>
      <c r="B16" s="237" t="s">
        <v>20</v>
      </c>
      <c r="C16" s="237" t="s">
        <v>1485</v>
      </c>
      <c r="D16" s="237" t="s">
        <v>578</v>
      </c>
      <c r="E16" s="591" t="s">
        <v>872</v>
      </c>
      <c r="F16" s="37">
        <v>6684594.444444444</v>
      </c>
      <c r="G16" s="571" t="s">
        <v>23</v>
      </c>
      <c r="H16" s="182" t="s">
        <v>747</v>
      </c>
      <c r="I16" s="571">
        <v>1399</v>
      </c>
      <c r="J16" s="571" t="s">
        <v>852</v>
      </c>
      <c r="K16" s="39">
        <v>1</v>
      </c>
      <c r="L16" s="315"/>
      <c r="M16" s="164" t="s">
        <v>370</v>
      </c>
      <c r="N16" s="237"/>
      <c r="O16" s="237"/>
      <c r="P16" s="182"/>
    </row>
    <row r="17" spans="1:16" s="574" customFormat="1" ht="36">
      <c r="A17" s="698">
        <v>11</v>
      </c>
      <c r="B17" s="237" t="s">
        <v>20</v>
      </c>
      <c r="C17" s="237" t="s">
        <v>1485</v>
      </c>
      <c r="D17" s="237" t="s">
        <v>578</v>
      </c>
      <c r="E17" s="591" t="s">
        <v>871</v>
      </c>
      <c r="F17" s="37">
        <v>7046736.7699999996</v>
      </c>
      <c r="G17" s="571" t="s">
        <v>23</v>
      </c>
      <c r="H17" s="182" t="s">
        <v>747</v>
      </c>
      <c r="I17" s="571">
        <v>1399</v>
      </c>
      <c r="J17" s="571" t="s">
        <v>852</v>
      </c>
      <c r="K17" s="39">
        <v>1</v>
      </c>
      <c r="L17" s="315"/>
      <c r="M17" s="164" t="s">
        <v>370</v>
      </c>
      <c r="N17" s="237"/>
      <c r="O17" s="237"/>
      <c r="P17" s="182"/>
    </row>
    <row r="18" spans="1:16" s="574" customFormat="1" ht="54">
      <c r="A18" s="698">
        <v>12</v>
      </c>
      <c r="B18" s="237" t="s">
        <v>20</v>
      </c>
      <c r="C18" s="237" t="s">
        <v>1486</v>
      </c>
      <c r="D18" s="237" t="s">
        <v>851</v>
      </c>
      <c r="E18" s="40" t="s">
        <v>870</v>
      </c>
      <c r="F18" s="37">
        <v>6500949</v>
      </c>
      <c r="G18" s="571" t="s">
        <v>23</v>
      </c>
      <c r="H18" s="182" t="s">
        <v>747</v>
      </c>
      <c r="I18" s="571">
        <v>1399</v>
      </c>
      <c r="J18" s="571" t="s">
        <v>852</v>
      </c>
      <c r="K18" s="39">
        <v>1</v>
      </c>
      <c r="L18" s="315"/>
      <c r="M18" s="164" t="s">
        <v>370</v>
      </c>
      <c r="N18" s="237"/>
      <c r="O18" s="237"/>
      <c r="P18" s="182"/>
    </row>
    <row r="19" spans="1:16" s="574" customFormat="1" ht="54">
      <c r="A19" s="698">
        <v>13</v>
      </c>
      <c r="B19" s="237" t="s">
        <v>20</v>
      </c>
      <c r="C19" s="237" t="s">
        <v>1487</v>
      </c>
      <c r="D19" s="237" t="s">
        <v>851</v>
      </c>
      <c r="E19" s="40" t="s">
        <v>869</v>
      </c>
      <c r="F19" s="37">
        <v>5607232</v>
      </c>
      <c r="G19" s="571" t="s">
        <v>23</v>
      </c>
      <c r="H19" s="182" t="s">
        <v>747</v>
      </c>
      <c r="I19" s="571">
        <v>1399</v>
      </c>
      <c r="J19" s="571" t="s">
        <v>852</v>
      </c>
      <c r="K19" s="39">
        <v>1</v>
      </c>
      <c r="L19" s="315"/>
      <c r="M19" s="164" t="s">
        <v>370</v>
      </c>
      <c r="N19" s="237"/>
      <c r="O19" s="237"/>
      <c r="P19" s="182"/>
    </row>
    <row r="20" spans="1:16" s="574" customFormat="1" ht="54">
      <c r="A20" s="698">
        <v>14</v>
      </c>
      <c r="B20" s="237" t="s">
        <v>20</v>
      </c>
      <c r="C20" s="237" t="s">
        <v>1487</v>
      </c>
      <c r="D20" s="237" t="s">
        <v>851</v>
      </c>
      <c r="E20" s="40" t="s">
        <v>868</v>
      </c>
      <c r="F20" s="37">
        <v>3019532</v>
      </c>
      <c r="G20" s="571" t="s">
        <v>23</v>
      </c>
      <c r="H20" s="182" t="s">
        <v>747</v>
      </c>
      <c r="I20" s="571">
        <v>1399</v>
      </c>
      <c r="J20" s="571" t="s">
        <v>852</v>
      </c>
      <c r="K20" s="39">
        <v>1</v>
      </c>
      <c r="L20" s="315"/>
      <c r="M20" s="164" t="s">
        <v>370</v>
      </c>
      <c r="N20" s="237"/>
      <c r="O20" s="237"/>
      <c r="P20" s="182"/>
    </row>
    <row r="21" spans="1:16" s="574" customFormat="1" ht="54">
      <c r="A21" s="698">
        <v>15</v>
      </c>
      <c r="B21" s="237" t="s">
        <v>20</v>
      </c>
      <c r="C21" s="237" t="s">
        <v>1486</v>
      </c>
      <c r="D21" s="237" t="s">
        <v>851</v>
      </c>
      <c r="E21" s="40" t="s">
        <v>867</v>
      </c>
      <c r="F21" s="37">
        <v>1964383</v>
      </c>
      <c r="G21" s="571" t="s">
        <v>23</v>
      </c>
      <c r="H21" s="182" t="s">
        <v>747</v>
      </c>
      <c r="I21" s="571">
        <v>1399</v>
      </c>
      <c r="J21" s="571" t="s">
        <v>852</v>
      </c>
      <c r="K21" s="39">
        <v>1</v>
      </c>
      <c r="L21" s="315"/>
      <c r="M21" s="164" t="s">
        <v>370</v>
      </c>
      <c r="N21" s="237"/>
      <c r="O21" s="237"/>
      <c r="P21" s="182"/>
    </row>
    <row r="22" spans="1:16" s="574" customFormat="1" ht="54">
      <c r="A22" s="698">
        <v>16</v>
      </c>
      <c r="B22" s="237" t="s">
        <v>20</v>
      </c>
      <c r="C22" s="237" t="s">
        <v>1486</v>
      </c>
      <c r="D22" s="237" t="s">
        <v>851</v>
      </c>
      <c r="E22" s="40" t="s">
        <v>866</v>
      </c>
      <c r="F22" s="37">
        <v>1876754</v>
      </c>
      <c r="G22" s="571" t="s">
        <v>23</v>
      </c>
      <c r="H22" s="182" t="s">
        <v>747</v>
      </c>
      <c r="I22" s="571">
        <v>1399</v>
      </c>
      <c r="J22" s="571" t="s">
        <v>852</v>
      </c>
      <c r="K22" s="39">
        <v>1</v>
      </c>
      <c r="L22" s="315"/>
      <c r="M22" s="164" t="s">
        <v>370</v>
      </c>
      <c r="N22" s="237"/>
      <c r="O22" s="237"/>
      <c r="P22" s="182"/>
    </row>
    <row r="23" spans="1:16" s="574" customFormat="1" ht="54">
      <c r="A23" s="698">
        <v>17</v>
      </c>
      <c r="B23" s="237" t="s">
        <v>20</v>
      </c>
      <c r="C23" s="237" t="s">
        <v>1486</v>
      </c>
      <c r="D23" s="237" t="s">
        <v>851</v>
      </c>
      <c r="E23" s="40" t="s">
        <v>865</v>
      </c>
      <c r="F23" s="37">
        <v>2204683</v>
      </c>
      <c r="G23" s="571" t="s">
        <v>23</v>
      </c>
      <c r="H23" s="182" t="s">
        <v>747</v>
      </c>
      <c r="I23" s="571">
        <v>1399</v>
      </c>
      <c r="J23" s="571" t="s">
        <v>852</v>
      </c>
      <c r="K23" s="39">
        <v>1</v>
      </c>
      <c r="L23" s="315"/>
      <c r="M23" s="164" t="s">
        <v>370</v>
      </c>
      <c r="N23" s="237"/>
      <c r="O23" s="237"/>
      <c r="P23" s="182"/>
    </row>
    <row r="24" spans="1:16" s="574" customFormat="1" ht="54">
      <c r="A24" s="698">
        <v>18</v>
      </c>
      <c r="B24" s="237" t="s">
        <v>20</v>
      </c>
      <c r="C24" s="237" t="s">
        <v>1486</v>
      </c>
      <c r="D24" s="237" t="s">
        <v>851</v>
      </c>
      <c r="E24" s="40" t="s">
        <v>864</v>
      </c>
      <c r="F24" s="37">
        <v>4372960</v>
      </c>
      <c r="G24" s="571" t="s">
        <v>23</v>
      </c>
      <c r="H24" s="182" t="s">
        <v>747</v>
      </c>
      <c r="I24" s="571">
        <v>1399</v>
      </c>
      <c r="J24" s="571" t="s">
        <v>852</v>
      </c>
      <c r="K24" s="39">
        <v>1</v>
      </c>
      <c r="L24" s="315"/>
      <c r="M24" s="164" t="s">
        <v>370</v>
      </c>
      <c r="N24" s="237"/>
      <c r="O24" s="237"/>
      <c r="P24" s="182"/>
    </row>
    <row r="25" spans="1:16" s="574" customFormat="1" ht="54">
      <c r="A25" s="698">
        <v>19</v>
      </c>
      <c r="B25" s="237" t="s">
        <v>20</v>
      </c>
      <c r="C25" s="237" t="s">
        <v>1487</v>
      </c>
      <c r="D25" s="237" t="s">
        <v>851</v>
      </c>
      <c r="E25" s="40" t="s">
        <v>863</v>
      </c>
      <c r="F25" s="37">
        <v>2590022</v>
      </c>
      <c r="G25" s="571" t="s">
        <v>23</v>
      </c>
      <c r="H25" s="182" t="s">
        <v>747</v>
      </c>
      <c r="I25" s="571">
        <v>1399</v>
      </c>
      <c r="J25" s="571" t="s">
        <v>852</v>
      </c>
      <c r="K25" s="39">
        <v>1</v>
      </c>
      <c r="L25" s="315"/>
      <c r="M25" s="164" t="s">
        <v>370</v>
      </c>
      <c r="N25" s="237"/>
      <c r="O25" s="237"/>
      <c r="P25" s="182"/>
    </row>
    <row r="26" spans="1:16" s="574" customFormat="1" ht="54">
      <c r="A26" s="698">
        <v>20</v>
      </c>
      <c r="B26" s="237" t="s">
        <v>20</v>
      </c>
      <c r="C26" s="237" t="s">
        <v>1487</v>
      </c>
      <c r="D26" s="237" t="s">
        <v>851</v>
      </c>
      <c r="E26" s="40" t="s">
        <v>862</v>
      </c>
      <c r="F26" s="37">
        <v>4924905</v>
      </c>
      <c r="G26" s="571" t="s">
        <v>23</v>
      </c>
      <c r="H26" s="182" t="s">
        <v>747</v>
      </c>
      <c r="I26" s="571">
        <v>1399</v>
      </c>
      <c r="J26" s="571" t="s">
        <v>852</v>
      </c>
      <c r="K26" s="39">
        <v>1</v>
      </c>
      <c r="L26" s="315"/>
      <c r="M26" s="164" t="s">
        <v>370</v>
      </c>
      <c r="N26" s="237"/>
      <c r="O26" s="237"/>
      <c r="P26" s="182"/>
    </row>
    <row r="27" spans="1:16" s="574" customFormat="1" ht="54">
      <c r="A27" s="698">
        <v>21</v>
      </c>
      <c r="B27" s="237" t="s">
        <v>20</v>
      </c>
      <c r="C27" s="237" t="s">
        <v>1486</v>
      </c>
      <c r="D27" s="237" t="s">
        <v>851</v>
      </c>
      <c r="E27" s="40" t="s">
        <v>861</v>
      </c>
      <c r="F27" s="37">
        <v>3802307</v>
      </c>
      <c r="G27" s="571" t="s">
        <v>23</v>
      </c>
      <c r="H27" s="182" t="s">
        <v>747</v>
      </c>
      <c r="I27" s="571">
        <v>1399</v>
      </c>
      <c r="J27" s="571" t="s">
        <v>852</v>
      </c>
      <c r="K27" s="39">
        <v>1</v>
      </c>
      <c r="L27" s="315"/>
      <c r="M27" s="164" t="s">
        <v>370</v>
      </c>
      <c r="N27" s="237"/>
      <c r="O27" s="237"/>
      <c r="P27" s="182"/>
    </row>
    <row r="28" spans="1:16" s="574" customFormat="1" ht="54">
      <c r="A28" s="698">
        <v>22</v>
      </c>
      <c r="B28" s="237" t="s">
        <v>20</v>
      </c>
      <c r="C28" s="237" t="s">
        <v>1486</v>
      </c>
      <c r="D28" s="237" t="s">
        <v>851</v>
      </c>
      <c r="E28" s="40" t="s">
        <v>860</v>
      </c>
      <c r="F28" s="37">
        <v>6018709</v>
      </c>
      <c r="G28" s="571" t="s">
        <v>23</v>
      </c>
      <c r="H28" s="182" t="s">
        <v>747</v>
      </c>
      <c r="I28" s="571">
        <v>1399</v>
      </c>
      <c r="J28" s="571" t="s">
        <v>852</v>
      </c>
      <c r="K28" s="39">
        <v>1</v>
      </c>
      <c r="L28" s="315"/>
      <c r="M28" s="164" t="s">
        <v>370</v>
      </c>
      <c r="N28" s="237"/>
      <c r="O28" s="237"/>
      <c r="P28" s="182"/>
    </row>
    <row r="29" spans="1:16" s="574" customFormat="1" ht="54">
      <c r="A29" s="698">
        <v>23</v>
      </c>
      <c r="B29" s="237" t="s">
        <v>20</v>
      </c>
      <c r="C29" s="237" t="s">
        <v>1486</v>
      </c>
      <c r="D29" s="237" t="s">
        <v>851</v>
      </c>
      <c r="E29" s="40" t="s">
        <v>859</v>
      </c>
      <c r="F29" s="37">
        <v>3065792</v>
      </c>
      <c r="G29" s="571" t="s">
        <v>23</v>
      </c>
      <c r="H29" s="182" t="s">
        <v>747</v>
      </c>
      <c r="I29" s="571">
        <v>1399</v>
      </c>
      <c r="J29" s="571" t="s">
        <v>852</v>
      </c>
      <c r="K29" s="39">
        <v>1</v>
      </c>
      <c r="L29" s="315"/>
      <c r="M29" s="164" t="s">
        <v>370</v>
      </c>
      <c r="N29" s="237"/>
      <c r="O29" s="237"/>
      <c r="P29" s="182"/>
    </row>
    <row r="30" spans="1:16" s="574" customFormat="1" ht="54">
      <c r="A30" s="698">
        <v>24</v>
      </c>
      <c r="B30" s="237" t="s">
        <v>20</v>
      </c>
      <c r="C30" s="237" t="s">
        <v>1486</v>
      </c>
      <c r="D30" s="237" t="s">
        <v>851</v>
      </c>
      <c r="E30" s="40" t="s">
        <v>858</v>
      </c>
      <c r="F30" s="37">
        <v>3285152</v>
      </c>
      <c r="G30" s="571" t="s">
        <v>23</v>
      </c>
      <c r="H30" s="182" t="s">
        <v>747</v>
      </c>
      <c r="I30" s="571">
        <v>1399</v>
      </c>
      <c r="J30" s="571" t="s">
        <v>852</v>
      </c>
      <c r="K30" s="39">
        <v>1</v>
      </c>
      <c r="L30" s="315"/>
      <c r="M30" s="164" t="s">
        <v>370</v>
      </c>
      <c r="N30" s="237"/>
      <c r="O30" s="237"/>
      <c r="P30" s="182"/>
    </row>
    <row r="31" spans="1:16" s="574" customFormat="1" ht="54">
      <c r="A31" s="698">
        <v>25</v>
      </c>
      <c r="B31" s="237" t="s">
        <v>20</v>
      </c>
      <c r="C31" s="237" t="s">
        <v>1486</v>
      </c>
      <c r="D31" s="237" t="s">
        <v>851</v>
      </c>
      <c r="E31" s="40" t="s">
        <v>857</v>
      </c>
      <c r="F31" s="37">
        <v>6133370</v>
      </c>
      <c r="G31" s="571" t="s">
        <v>23</v>
      </c>
      <c r="H31" s="182" t="s">
        <v>747</v>
      </c>
      <c r="I31" s="571">
        <v>1399</v>
      </c>
      <c r="J31" s="571" t="s">
        <v>852</v>
      </c>
      <c r="K31" s="39">
        <v>1</v>
      </c>
      <c r="L31" s="315"/>
      <c r="M31" s="164" t="s">
        <v>370</v>
      </c>
      <c r="N31" s="237"/>
      <c r="O31" s="237"/>
      <c r="P31" s="182"/>
    </row>
    <row r="32" spans="1:16" s="574" customFormat="1" ht="54">
      <c r="A32" s="698">
        <v>26</v>
      </c>
      <c r="B32" s="237" t="s">
        <v>20</v>
      </c>
      <c r="C32" s="237" t="s">
        <v>1486</v>
      </c>
      <c r="D32" s="237" t="s">
        <v>851</v>
      </c>
      <c r="E32" s="40" t="s">
        <v>856</v>
      </c>
      <c r="F32" s="37">
        <v>2473154</v>
      </c>
      <c r="G32" s="571" t="s">
        <v>23</v>
      </c>
      <c r="H32" s="182" t="s">
        <v>747</v>
      </c>
      <c r="I32" s="571">
        <v>1399</v>
      </c>
      <c r="J32" s="571" t="s">
        <v>852</v>
      </c>
      <c r="K32" s="39">
        <v>1</v>
      </c>
      <c r="L32" s="315"/>
      <c r="M32" s="164" t="s">
        <v>370</v>
      </c>
      <c r="N32" s="237"/>
      <c r="O32" s="237"/>
      <c r="P32" s="182"/>
    </row>
    <row r="33" spans="1:16" s="574" customFormat="1" ht="54">
      <c r="A33" s="698">
        <v>27</v>
      </c>
      <c r="B33" s="237" t="s">
        <v>20</v>
      </c>
      <c r="C33" s="237" t="s">
        <v>1487</v>
      </c>
      <c r="D33" s="237" t="s">
        <v>851</v>
      </c>
      <c r="E33" s="40" t="s">
        <v>855</v>
      </c>
      <c r="F33" s="37">
        <v>6336248</v>
      </c>
      <c r="G33" s="571" t="s">
        <v>23</v>
      </c>
      <c r="H33" s="182" t="s">
        <v>747</v>
      </c>
      <c r="I33" s="571">
        <v>1399</v>
      </c>
      <c r="J33" s="571" t="s">
        <v>852</v>
      </c>
      <c r="K33" s="39">
        <v>1</v>
      </c>
      <c r="L33" s="315"/>
      <c r="M33" s="164" t="s">
        <v>370</v>
      </c>
      <c r="N33" s="237"/>
      <c r="O33" s="237"/>
      <c r="P33" s="182"/>
    </row>
    <row r="34" spans="1:16" s="574" customFormat="1" ht="54">
      <c r="A34" s="698">
        <v>28</v>
      </c>
      <c r="B34" s="237" t="s">
        <v>20</v>
      </c>
      <c r="C34" s="237" t="s">
        <v>1486</v>
      </c>
      <c r="D34" s="237" t="s">
        <v>851</v>
      </c>
      <c r="E34" s="40" t="s">
        <v>854</v>
      </c>
      <c r="F34" s="37">
        <v>5991181</v>
      </c>
      <c r="G34" s="571" t="s">
        <v>23</v>
      </c>
      <c r="H34" s="182" t="s">
        <v>747</v>
      </c>
      <c r="I34" s="571">
        <v>1399</v>
      </c>
      <c r="J34" s="571" t="s">
        <v>852</v>
      </c>
      <c r="K34" s="39">
        <v>1</v>
      </c>
      <c r="L34" s="315"/>
      <c r="M34" s="164" t="s">
        <v>370</v>
      </c>
      <c r="N34" s="237"/>
      <c r="O34" s="237"/>
      <c r="P34" s="182"/>
    </row>
    <row r="35" spans="1:16" s="574" customFormat="1" ht="54">
      <c r="A35" s="698">
        <v>29</v>
      </c>
      <c r="B35" s="237" t="s">
        <v>20</v>
      </c>
      <c r="C35" s="237" t="s">
        <v>1486</v>
      </c>
      <c r="D35" s="237" t="s">
        <v>851</v>
      </c>
      <c r="E35" s="40" t="s">
        <v>853</v>
      </c>
      <c r="F35" s="37">
        <v>1838312</v>
      </c>
      <c r="G35" s="571" t="s">
        <v>23</v>
      </c>
      <c r="H35" s="182" t="s">
        <v>747</v>
      </c>
      <c r="I35" s="571">
        <v>1399</v>
      </c>
      <c r="J35" s="571" t="s">
        <v>852</v>
      </c>
      <c r="K35" s="39">
        <v>1</v>
      </c>
      <c r="L35" s="315"/>
      <c r="M35" s="164" t="s">
        <v>370</v>
      </c>
      <c r="N35" s="237"/>
      <c r="O35" s="237"/>
      <c r="P35" s="182"/>
    </row>
    <row r="36" spans="1:16" s="574" customFormat="1" ht="54">
      <c r="A36" s="698">
        <v>30</v>
      </c>
      <c r="B36" s="237" t="s">
        <v>20</v>
      </c>
      <c r="C36" s="237" t="s">
        <v>1488</v>
      </c>
      <c r="D36" s="237" t="s">
        <v>851</v>
      </c>
      <c r="E36" s="40" t="s">
        <v>1489</v>
      </c>
      <c r="F36" s="37">
        <v>3159000</v>
      </c>
      <c r="G36" s="571" t="s">
        <v>23</v>
      </c>
      <c r="H36" s="182" t="s">
        <v>747</v>
      </c>
      <c r="I36" s="571">
        <v>1399</v>
      </c>
      <c r="J36" s="571" t="s">
        <v>852</v>
      </c>
      <c r="K36" s="39">
        <v>0.02</v>
      </c>
      <c r="L36" s="315"/>
      <c r="M36" s="164" t="s">
        <v>70</v>
      </c>
      <c r="N36" s="237"/>
      <c r="O36" s="237"/>
      <c r="P36" s="182"/>
    </row>
    <row r="37" spans="1:16" s="574" customFormat="1" ht="54">
      <c r="A37" s="698">
        <v>31</v>
      </c>
      <c r="B37" s="237" t="s">
        <v>20</v>
      </c>
      <c r="C37" s="237" t="s">
        <v>1488</v>
      </c>
      <c r="D37" s="237" t="s">
        <v>851</v>
      </c>
      <c r="E37" s="40" t="s">
        <v>1490</v>
      </c>
      <c r="F37" s="37">
        <v>3159000</v>
      </c>
      <c r="G37" s="571" t="s">
        <v>23</v>
      </c>
      <c r="H37" s="182" t="s">
        <v>747</v>
      </c>
      <c r="I37" s="571">
        <v>1399</v>
      </c>
      <c r="J37" s="571" t="s">
        <v>852</v>
      </c>
      <c r="K37" s="39">
        <v>0</v>
      </c>
      <c r="L37" s="315"/>
      <c r="M37" s="164" t="s">
        <v>2138</v>
      </c>
      <c r="N37" s="237"/>
      <c r="O37" s="237"/>
      <c r="P37" s="182"/>
    </row>
    <row r="38" spans="1:16" s="574" customFormat="1" ht="54">
      <c r="A38" s="698">
        <v>32</v>
      </c>
      <c r="B38" s="237" t="s">
        <v>20</v>
      </c>
      <c r="C38" s="237" t="s">
        <v>1488</v>
      </c>
      <c r="D38" s="237" t="s">
        <v>851</v>
      </c>
      <c r="E38" s="40" t="s">
        <v>1491</v>
      </c>
      <c r="F38" s="37">
        <v>3159000</v>
      </c>
      <c r="G38" s="571" t="s">
        <v>23</v>
      </c>
      <c r="H38" s="182" t="s">
        <v>747</v>
      </c>
      <c r="I38" s="571">
        <v>1399</v>
      </c>
      <c r="J38" s="571" t="s">
        <v>852</v>
      </c>
      <c r="K38" s="39">
        <v>0</v>
      </c>
      <c r="L38" s="315"/>
      <c r="M38" s="164" t="s">
        <v>2138</v>
      </c>
      <c r="N38" s="237"/>
      <c r="O38" s="237"/>
      <c r="P38" s="182"/>
    </row>
    <row r="39" spans="1:16" s="574" customFormat="1" ht="54">
      <c r="A39" s="698">
        <v>33</v>
      </c>
      <c r="B39" s="237" t="s">
        <v>20</v>
      </c>
      <c r="C39" s="237" t="s">
        <v>1488</v>
      </c>
      <c r="D39" s="237" t="s">
        <v>851</v>
      </c>
      <c r="E39" s="40" t="s">
        <v>1492</v>
      </c>
      <c r="F39" s="37">
        <v>3060492</v>
      </c>
      <c r="G39" s="571" t="s">
        <v>23</v>
      </c>
      <c r="H39" s="182" t="s">
        <v>747</v>
      </c>
      <c r="I39" s="571">
        <v>1399</v>
      </c>
      <c r="J39" s="571" t="s">
        <v>852</v>
      </c>
      <c r="K39" s="39">
        <v>1</v>
      </c>
      <c r="L39" s="315"/>
      <c r="M39" s="164" t="s">
        <v>370</v>
      </c>
      <c r="N39" s="237"/>
      <c r="O39" s="237"/>
      <c r="P39" s="182"/>
    </row>
    <row r="40" spans="1:16" s="574" customFormat="1" ht="54">
      <c r="A40" s="698">
        <v>34</v>
      </c>
      <c r="B40" s="237" t="s">
        <v>20</v>
      </c>
      <c r="C40" s="237" t="s">
        <v>1488</v>
      </c>
      <c r="D40" s="237" t="s">
        <v>851</v>
      </c>
      <c r="E40" s="40" t="s">
        <v>1493</v>
      </c>
      <c r="F40" s="37">
        <v>3159000</v>
      </c>
      <c r="G40" s="571" t="s">
        <v>23</v>
      </c>
      <c r="H40" s="182" t="s">
        <v>747</v>
      </c>
      <c r="I40" s="571">
        <v>1399</v>
      </c>
      <c r="J40" s="571" t="s">
        <v>852</v>
      </c>
      <c r="K40" s="275">
        <v>0.05</v>
      </c>
      <c r="L40" s="251"/>
      <c r="M40" s="164" t="s">
        <v>70</v>
      </c>
      <c r="N40" s="237"/>
      <c r="O40" s="237"/>
      <c r="P40" s="182"/>
    </row>
    <row r="41" spans="1:16" s="574" customFormat="1" ht="54">
      <c r="A41" s="698">
        <v>35</v>
      </c>
      <c r="B41" s="237" t="s">
        <v>20</v>
      </c>
      <c r="C41" s="237" t="s">
        <v>1488</v>
      </c>
      <c r="D41" s="237" t="s">
        <v>851</v>
      </c>
      <c r="E41" s="40" t="s">
        <v>1494</v>
      </c>
      <c r="F41" s="37">
        <v>3101620</v>
      </c>
      <c r="G41" s="571" t="s">
        <v>23</v>
      </c>
      <c r="H41" s="182" t="s">
        <v>747</v>
      </c>
      <c r="I41" s="571">
        <v>1399</v>
      </c>
      <c r="J41" s="571" t="s">
        <v>852</v>
      </c>
      <c r="K41" s="39">
        <v>1</v>
      </c>
      <c r="L41" s="315"/>
      <c r="M41" s="164" t="s">
        <v>370</v>
      </c>
      <c r="N41" s="237"/>
      <c r="O41" s="237"/>
      <c r="P41" s="182"/>
    </row>
    <row r="42" spans="1:16" s="574" customFormat="1" ht="54">
      <c r="A42" s="698">
        <v>36</v>
      </c>
      <c r="B42" s="237" t="s">
        <v>20</v>
      </c>
      <c r="C42" s="237" t="s">
        <v>1488</v>
      </c>
      <c r="D42" s="237" t="s">
        <v>851</v>
      </c>
      <c r="E42" s="40" t="s">
        <v>1495</v>
      </c>
      <c r="F42" s="37">
        <v>3142660</v>
      </c>
      <c r="G42" s="571" t="s">
        <v>23</v>
      </c>
      <c r="H42" s="182" t="s">
        <v>747</v>
      </c>
      <c r="I42" s="571">
        <v>1399</v>
      </c>
      <c r="J42" s="571" t="s">
        <v>852</v>
      </c>
      <c r="K42" s="39">
        <v>1</v>
      </c>
      <c r="L42" s="315"/>
      <c r="M42" s="164" t="s">
        <v>370</v>
      </c>
      <c r="N42" s="237"/>
      <c r="O42" s="237"/>
      <c r="P42" s="182"/>
    </row>
    <row r="43" spans="1:16" s="574" customFormat="1" ht="54">
      <c r="A43" s="698">
        <v>37</v>
      </c>
      <c r="B43" s="237" t="s">
        <v>20</v>
      </c>
      <c r="C43" s="237" t="s">
        <v>1488</v>
      </c>
      <c r="D43" s="237" t="s">
        <v>851</v>
      </c>
      <c r="E43" s="40" t="s">
        <v>1496</v>
      </c>
      <c r="F43" s="37">
        <v>2945063</v>
      </c>
      <c r="G43" s="571" t="s">
        <v>23</v>
      </c>
      <c r="H43" s="182" t="s">
        <v>747</v>
      </c>
      <c r="I43" s="571">
        <v>1399</v>
      </c>
      <c r="J43" s="571" t="s">
        <v>852</v>
      </c>
      <c r="K43" s="39">
        <v>1</v>
      </c>
      <c r="L43" s="315"/>
      <c r="M43" s="164" t="s">
        <v>370</v>
      </c>
      <c r="N43" s="237"/>
      <c r="O43" s="237"/>
      <c r="P43" s="182"/>
    </row>
    <row r="44" spans="1:16" s="574" customFormat="1" ht="54">
      <c r="A44" s="698">
        <v>38</v>
      </c>
      <c r="B44" s="237" t="s">
        <v>20</v>
      </c>
      <c r="C44" s="237" t="s">
        <v>1488</v>
      </c>
      <c r="D44" s="237" t="s">
        <v>851</v>
      </c>
      <c r="E44" s="40" t="s">
        <v>1497</v>
      </c>
      <c r="F44" s="37">
        <v>3136786</v>
      </c>
      <c r="G44" s="571" t="s">
        <v>23</v>
      </c>
      <c r="H44" s="182" t="s">
        <v>747</v>
      </c>
      <c r="I44" s="571">
        <v>1399</v>
      </c>
      <c r="J44" s="571" t="s">
        <v>852</v>
      </c>
      <c r="K44" s="39">
        <v>1</v>
      </c>
      <c r="L44" s="315"/>
      <c r="M44" s="164" t="s">
        <v>370</v>
      </c>
      <c r="N44" s="237"/>
      <c r="O44" s="237"/>
      <c r="P44" s="182"/>
    </row>
    <row r="45" spans="1:16" s="574" customFormat="1" ht="54">
      <c r="A45" s="698">
        <v>39</v>
      </c>
      <c r="B45" s="237" t="s">
        <v>20</v>
      </c>
      <c r="C45" s="237" t="s">
        <v>1498</v>
      </c>
      <c r="D45" s="237" t="s">
        <v>851</v>
      </c>
      <c r="E45" s="40" t="s">
        <v>1499</v>
      </c>
      <c r="F45" s="37">
        <v>3005899</v>
      </c>
      <c r="G45" s="571" t="s">
        <v>23</v>
      </c>
      <c r="H45" s="182" t="s">
        <v>747</v>
      </c>
      <c r="I45" s="571">
        <v>1399</v>
      </c>
      <c r="J45" s="571" t="s">
        <v>852</v>
      </c>
      <c r="K45" s="39">
        <v>1</v>
      </c>
      <c r="L45" s="315"/>
      <c r="M45" s="164" t="s">
        <v>370</v>
      </c>
      <c r="N45" s="237"/>
      <c r="O45" s="237"/>
      <c r="P45" s="182"/>
    </row>
    <row r="46" spans="1:16" s="574" customFormat="1" ht="54">
      <c r="A46" s="698">
        <v>40</v>
      </c>
      <c r="B46" s="237" t="s">
        <v>20</v>
      </c>
      <c r="C46" s="237" t="s">
        <v>1498</v>
      </c>
      <c r="D46" s="237" t="s">
        <v>851</v>
      </c>
      <c r="E46" s="40" t="s">
        <v>1500</v>
      </c>
      <c r="F46" s="37">
        <v>3086171</v>
      </c>
      <c r="G46" s="571" t="s">
        <v>23</v>
      </c>
      <c r="H46" s="182" t="s">
        <v>747</v>
      </c>
      <c r="I46" s="571">
        <v>1399</v>
      </c>
      <c r="J46" s="571" t="s">
        <v>852</v>
      </c>
      <c r="K46" s="39">
        <v>1</v>
      </c>
      <c r="L46" s="315"/>
      <c r="M46" s="164" t="s">
        <v>370</v>
      </c>
      <c r="N46" s="237"/>
      <c r="O46" s="237"/>
      <c r="P46" s="182"/>
    </row>
    <row r="47" spans="1:16" s="574" customFormat="1" ht="54">
      <c r="A47" s="698">
        <v>41</v>
      </c>
      <c r="B47" s="237" t="s">
        <v>20</v>
      </c>
      <c r="C47" s="237" t="s">
        <v>1498</v>
      </c>
      <c r="D47" s="237" t="s">
        <v>851</v>
      </c>
      <c r="E47" s="40" t="s">
        <v>1501</v>
      </c>
      <c r="F47" s="37">
        <v>2446918</v>
      </c>
      <c r="G47" s="571" t="s">
        <v>23</v>
      </c>
      <c r="H47" s="182" t="s">
        <v>747</v>
      </c>
      <c r="I47" s="571">
        <v>1399</v>
      </c>
      <c r="J47" s="571" t="s">
        <v>852</v>
      </c>
      <c r="K47" s="39">
        <v>1</v>
      </c>
      <c r="L47" s="315"/>
      <c r="M47" s="164" t="s">
        <v>370</v>
      </c>
      <c r="N47" s="237"/>
      <c r="O47" s="237"/>
      <c r="P47" s="182"/>
    </row>
    <row r="48" spans="1:16" s="574" customFormat="1" ht="54">
      <c r="A48" s="698">
        <v>42</v>
      </c>
      <c r="B48" s="237" t="s">
        <v>20</v>
      </c>
      <c r="C48" s="237" t="s">
        <v>1498</v>
      </c>
      <c r="D48" s="237" t="s">
        <v>851</v>
      </c>
      <c r="E48" s="40" t="s">
        <v>1502</v>
      </c>
      <c r="F48" s="37">
        <v>2617479</v>
      </c>
      <c r="G48" s="571" t="s">
        <v>23</v>
      </c>
      <c r="H48" s="182" t="s">
        <v>747</v>
      </c>
      <c r="I48" s="571">
        <v>1399</v>
      </c>
      <c r="J48" s="571" t="s">
        <v>25</v>
      </c>
      <c r="K48" s="39">
        <v>1</v>
      </c>
      <c r="L48" s="315"/>
      <c r="M48" s="164" t="s">
        <v>370</v>
      </c>
      <c r="N48" s="237"/>
      <c r="O48" s="237"/>
      <c r="P48" s="182"/>
    </row>
    <row r="49" spans="1:16" s="574" customFormat="1" ht="54">
      <c r="A49" s="698">
        <v>43</v>
      </c>
      <c r="B49" s="237" t="s">
        <v>20</v>
      </c>
      <c r="C49" s="237" t="s">
        <v>1488</v>
      </c>
      <c r="D49" s="237" t="s">
        <v>851</v>
      </c>
      <c r="E49" s="40" t="s">
        <v>1503</v>
      </c>
      <c r="F49" s="37">
        <v>3263420</v>
      </c>
      <c r="G49" s="571" t="s">
        <v>23</v>
      </c>
      <c r="H49" s="182" t="s">
        <v>747</v>
      </c>
      <c r="I49" s="571">
        <v>1399</v>
      </c>
      <c r="J49" s="571" t="s">
        <v>25</v>
      </c>
      <c r="K49" s="39">
        <v>1</v>
      </c>
      <c r="L49" s="315"/>
      <c r="M49" s="164" t="s">
        <v>370</v>
      </c>
      <c r="N49" s="237"/>
      <c r="O49" s="237"/>
      <c r="P49" s="182"/>
    </row>
    <row r="50" spans="1:16" s="574" customFormat="1" ht="54">
      <c r="A50" s="698">
        <v>44</v>
      </c>
      <c r="B50" s="237" t="s">
        <v>20</v>
      </c>
      <c r="C50" s="237" t="s">
        <v>1488</v>
      </c>
      <c r="D50" s="237" t="s">
        <v>851</v>
      </c>
      <c r="E50" s="40" t="s">
        <v>1504</v>
      </c>
      <c r="F50" s="37">
        <v>3285152</v>
      </c>
      <c r="G50" s="571" t="s">
        <v>23</v>
      </c>
      <c r="H50" s="182" t="s">
        <v>747</v>
      </c>
      <c r="I50" s="571">
        <v>1399</v>
      </c>
      <c r="J50" s="571" t="s">
        <v>25</v>
      </c>
      <c r="K50" s="275">
        <v>1</v>
      </c>
      <c r="L50" s="251"/>
      <c r="M50" s="164" t="s">
        <v>370</v>
      </c>
      <c r="N50" s="237"/>
      <c r="O50" s="237"/>
      <c r="P50" s="182"/>
    </row>
    <row r="51" spans="1:16" s="574" customFormat="1" ht="54">
      <c r="A51" s="698">
        <v>45</v>
      </c>
      <c r="B51" s="237" t="s">
        <v>20</v>
      </c>
      <c r="C51" s="237" t="s">
        <v>1488</v>
      </c>
      <c r="D51" s="237" t="s">
        <v>851</v>
      </c>
      <c r="E51" s="40" t="s">
        <v>1505</v>
      </c>
      <c r="F51" s="37">
        <v>3293624</v>
      </c>
      <c r="G51" s="571" t="s">
        <v>23</v>
      </c>
      <c r="H51" s="182" t="s">
        <v>747</v>
      </c>
      <c r="I51" s="571">
        <v>1399</v>
      </c>
      <c r="J51" s="571" t="s">
        <v>25</v>
      </c>
      <c r="K51" s="275">
        <v>1</v>
      </c>
      <c r="L51" s="251"/>
      <c r="M51" s="164" t="s">
        <v>370</v>
      </c>
      <c r="N51" s="237"/>
      <c r="O51" s="237"/>
      <c r="P51" s="182"/>
    </row>
    <row r="52" spans="1:16" s="574" customFormat="1" ht="54">
      <c r="A52" s="698">
        <v>46</v>
      </c>
      <c r="B52" s="237" t="s">
        <v>20</v>
      </c>
      <c r="C52" s="237" t="s">
        <v>1488</v>
      </c>
      <c r="D52" s="237" t="s">
        <v>851</v>
      </c>
      <c r="E52" s="40" t="s">
        <v>1506</v>
      </c>
      <c r="F52" s="37">
        <v>3159000</v>
      </c>
      <c r="G52" s="571" t="s">
        <v>23</v>
      </c>
      <c r="H52" s="182" t="s">
        <v>747</v>
      </c>
      <c r="I52" s="571">
        <v>1399</v>
      </c>
      <c r="J52" s="571" t="s">
        <v>25</v>
      </c>
      <c r="K52" s="275">
        <v>0.28000000000000003</v>
      </c>
      <c r="L52" s="251"/>
      <c r="M52" s="164" t="s">
        <v>70</v>
      </c>
      <c r="N52" s="237"/>
      <c r="O52" s="237"/>
      <c r="P52" s="182"/>
    </row>
    <row r="53" spans="1:16" s="574" customFormat="1" ht="54">
      <c r="A53" s="698">
        <v>47</v>
      </c>
      <c r="B53" s="237" t="s">
        <v>20</v>
      </c>
      <c r="C53" s="237" t="s">
        <v>1488</v>
      </c>
      <c r="D53" s="237" t="s">
        <v>851</v>
      </c>
      <c r="E53" s="40" t="s">
        <v>1507</v>
      </c>
      <c r="F53" s="37">
        <v>2999371</v>
      </c>
      <c r="G53" s="571" t="s">
        <v>23</v>
      </c>
      <c r="H53" s="182" t="s">
        <v>747</v>
      </c>
      <c r="I53" s="571">
        <v>1399</v>
      </c>
      <c r="J53" s="571" t="s">
        <v>25</v>
      </c>
      <c r="K53" s="39">
        <v>1</v>
      </c>
      <c r="L53" s="315"/>
      <c r="M53" s="164" t="s">
        <v>370</v>
      </c>
      <c r="N53" s="237"/>
      <c r="O53" s="237"/>
      <c r="P53" s="182"/>
    </row>
    <row r="54" spans="1:16" s="574" customFormat="1" ht="54">
      <c r="A54" s="698">
        <v>48</v>
      </c>
      <c r="B54" s="237" t="s">
        <v>20</v>
      </c>
      <c r="C54" s="237" t="s">
        <v>1488</v>
      </c>
      <c r="D54" s="237" t="s">
        <v>851</v>
      </c>
      <c r="E54" s="40" t="s">
        <v>1508</v>
      </c>
      <c r="F54" s="37">
        <v>3237214</v>
      </c>
      <c r="G54" s="571" t="s">
        <v>23</v>
      </c>
      <c r="H54" s="182" t="s">
        <v>747</v>
      </c>
      <c r="I54" s="571">
        <v>1399</v>
      </c>
      <c r="J54" s="571" t="s">
        <v>25</v>
      </c>
      <c r="K54" s="39">
        <v>1</v>
      </c>
      <c r="L54" s="315"/>
      <c r="M54" s="164" t="s">
        <v>370</v>
      </c>
      <c r="N54" s="237"/>
      <c r="O54" s="237"/>
      <c r="P54" s="182"/>
    </row>
    <row r="55" spans="1:16" s="574" customFormat="1" ht="54">
      <c r="A55" s="698">
        <v>49</v>
      </c>
      <c r="B55" s="237" t="s">
        <v>20</v>
      </c>
      <c r="C55" s="237" t="s">
        <v>1488</v>
      </c>
      <c r="D55" s="237" t="s">
        <v>851</v>
      </c>
      <c r="E55" s="40" t="s">
        <v>1509</v>
      </c>
      <c r="F55" s="37">
        <v>3159000</v>
      </c>
      <c r="G55" s="571" t="s">
        <v>23</v>
      </c>
      <c r="H55" s="182" t="s">
        <v>747</v>
      </c>
      <c r="I55" s="571">
        <v>1399</v>
      </c>
      <c r="J55" s="571" t="s">
        <v>25</v>
      </c>
      <c r="K55" s="275">
        <v>0.05</v>
      </c>
      <c r="L55" s="251"/>
      <c r="M55" s="164" t="s">
        <v>70</v>
      </c>
      <c r="N55" s="237"/>
      <c r="O55" s="237"/>
      <c r="P55" s="182"/>
    </row>
    <row r="56" spans="1:16" s="574" customFormat="1" ht="54">
      <c r="A56" s="698">
        <v>50</v>
      </c>
      <c r="B56" s="237" t="s">
        <v>20</v>
      </c>
      <c r="C56" s="237" t="s">
        <v>1488</v>
      </c>
      <c r="D56" s="237" t="s">
        <v>851</v>
      </c>
      <c r="E56" s="40" t="s">
        <v>1510</v>
      </c>
      <c r="F56" s="37">
        <v>3159000</v>
      </c>
      <c r="G56" s="571" t="s">
        <v>23</v>
      </c>
      <c r="H56" s="182" t="s">
        <v>747</v>
      </c>
      <c r="I56" s="571">
        <v>1399</v>
      </c>
      <c r="J56" s="571" t="s">
        <v>25</v>
      </c>
      <c r="K56" s="275">
        <v>0.05</v>
      </c>
      <c r="L56" s="251"/>
      <c r="M56" s="164" t="s">
        <v>70</v>
      </c>
      <c r="N56" s="237"/>
      <c r="O56" s="237"/>
      <c r="P56" s="182"/>
    </row>
    <row r="57" spans="1:16" s="574" customFormat="1" ht="54">
      <c r="A57" s="698">
        <v>51</v>
      </c>
      <c r="B57" s="237" t="s">
        <v>20</v>
      </c>
      <c r="C57" s="237" t="s">
        <v>1488</v>
      </c>
      <c r="D57" s="237" t="s">
        <v>851</v>
      </c>
      <c r="E57" s="40" t="s">
        <v>1511</v>
      </c>
      <c r="F57" s="37">
        <v>3159000</v>
      </c>
      <c r="G57" s="571" t="s">
        <v>23</v>
      </c>
      <c r="H57" s="182" t="s">
        <v>747</v>
      </c>
      <c r="I57" s="571">
        <v>1399</v>
      </c>
      <c r="J57" s="571" t="s">
        <v>25</v>
      </c>
      <c r="K57" s="275">
        <v>0.05</v>
      </c>
      <c r="L57" s="251"/>
      <c r="M57" s="164" t="s">
        <v>70</v>
      </c>
      <c r="N57" s="237"/>
      <c r="O57" s="237"/>
      <c r="P57" s="182"/>
    </row>
    <row r="58" spans="1:16" s="574" customFormat="1" ht="54">
      <c r="A58" s="698">
        <v>52</v>
      </c>
      <c r="B58" s="237" t="s">
        <v>20</v>
      </c>
      <c r="C58" s="237" t="s">
        <v>1488</v>
      </c>
      <c r="D58" s="237" t="s">
        <v>851</v>
      </c>
      <c r="E58" s="40" t="s">
        <v>1512</v>
      </c>
      <c r="F58" s="37">
        <v>3144888</v>
      </c>
      <c r="G58" s="571" t="s">
        <v>23</v>
      </c>
      <c r="H58" s="182" t="s">
        <v>747</v>
      </c>
      <c r="I58" s="571">
        <v>1399</v>
      </c>
      <c r="J58" s="571" t="s">
        <v>25</v>
      </c>
      <c r="K58" s="39">
        <v>1</v>
      </c>
      <c r="L58" s="315"/>
      <c r="M58" s="164" t="s">
        <v>370</v>
      </c>
      <c r="N58" s="237"/>
      <c r="O58" s="237"/>
      <c r="P58" s="182"/>
    </row>
    <row r="59" spans="1:16" ht="57" customHeight="1">
      <c r="A59" s="698">
        <v>53</v>
      </c>
      <c r="B59" s="323" t="s">
        <v>20</v>
      </c>
      <c r="C59" s="164"/>
      <c r="D59" s="323" t="s">
        <v>28</v>
      </c>
      <c r="E59" s="323" t="s">
        <v>114</v>
      </c>
      <c r="F59" s="184">
        <v>180000</v>
      </c>
      <c r="G59" s="21" t="s">
        <v>23</v>
      </c>
      <c r="H59" s="21" t="s">
        <v>77</v>
      </c>
      <c r="I59" s="21">
        <v>1399</v>
      </c>
      <c r="J59" s="21" t="s">
        <v>852</v>
      </c>
      <c r="K59" s="275">
        <v>1</v>
      </c>
      <c r="L59" s="323"/>
      <c r="M59" s="164" t="s">
        <v>370</v>
      </c>
      <c r="N59" s="335"/>
      <c r="O59" s="323"/>
      <c r="P59" s="323"/>
    </row>
    <row r="60" spans="1:16" ht="48.75" customHeight="1">
      <c r="A60" s="698">
        <v>54</v>
      </c>
      <c r="B60" s="323" t="s">
        <v>20</v>
      </c>
      <c r="C60" s="164"/>
      <c r="D60" s="323" t="s">
        <v>28</v>
      </c>
      <c r="E60" s="40" t="s">
        <v>891</v>
      </c>
      <c r="F60" s="37">
        <v>18060000</v>
      </c>
      <c r="G60" s="21" t="s">
        <v>23</v>
      </c>
      <c r="H60" s="21" t="s">
        <v>77</v>
      </c>
      <c r="I60" s="21">
        <v>1399</v>
      </c>
      <c r="J60" s="21" t="s">
        <v>852</v>
      </c>
      <c r="K60" s="275">
        <v>1</v>
      </c>
      <c r="L60" s="323"/>
      <c r="M60" s="164" t="s">
        <v>370</v>
      </c>
      <c r="N60" s="326"/>
      <c r="O60" s="323"/>
      <c r="P60" s="251" t="s">
        <v>17</v>
      </c>
    </row>
    <row r="61" spans="1:16" ht="57.75" customHeight="1">
      <c r="A61" s="698">
        <v>55</v>
      </c>
      <c r="B61" s="323" t="s">
        <v>20</v>
      </c>
      <c r="C61" s="164"/>
      <c r="D61" s="323" t="s">
        <v>28</v>
      </c>
      <c r="E61" s="323" t="s">
        <v>115</v>
      </c>
      <c r="F61" s="184">
        <v>62250</v>
      </c>
      <c r="G61" s="21" t="s">
        <v>23</v>
      </c>
      <c r="H61" s="21" t="s">
        <v>77</v>
      </c>
      <c r="I61" s="21">
        <v>1399</v>
      </c>
      <c r="J61" s="21" t="s">
        <v>852</v>
      </c>
      <c r="K61" s="275">
        <v>1</v>
      </c>
      <c r="L61" s="323"/>
      <c r="M61" s="164" t="s">
        <v>370</v>
      </c>
      <c r="N61" s="323"/>
      <c r="O61" s="323"/>
      <c r="P61" s="323"/>
    </row>
    <row r="62" spans="1:16" ht="43.5" customHeight="1">
      <c r="A62" s="698">
        <v>56</v>
      </c>
      <c r="B62" s="323" t="s">
        <v>20</v>
      </c>
      <c r="C62" s="164"/>
      <c r="D62" s="323" t="s">
        <v>116</v>
      </c>
      <c r="E62" s="323" t="s">
        <v>117</v>
      </c>
      <c r="F62" s="184">
        <v>1280000</v>
      </c>
      <c r="G62" s="21" t="s">
        <v>23</v>
      </c>
      <c r="H62" s="21" t="s">
        <v>77</v>
      </c>
      <c r="I62" s="21">
        <v>1399</v>
      </c>
      <c r="J62" s="21" t="s">
        <v>852</v>
      </c>
      <c r="K62" s="275">
        <v>1</v>
      </c>
      <c r="L62" s="323"/>
      <c r="M62" s="164" t="s">
        <v>370</v>
      </c>
      <c r="N62" s="323"/>
      <c r="O62" s="328"/>
      <c r="P62" s="323"/>
    </row>
    <row r="63" spans="1:16" ht="67.150000000000006" customHeight="1">
      <c r="A63" s="698">
        <v>57</v>
      </c>
      <c r="B63" s="323" t="s">
        <v>20</v>
      </c>
      <c r="C63" s="164"/>
      <c r="D63" s="323" t="s">
        <v>116</v>
      </c>
      <c r="E63" s="323" t="s">
        <v>79</v>
      </c>
      <c r="F63" s="184">
        <v>52000</v>
      </c>
      <c r="G63" s="21" t="s">
        <v>23</v>
      </c>
      <c r="H63" s="21" t="s">
        <v>77</v>
      </c>
      <c r="I63" s="21">
        <v>1399</v>
      </c>
      <c r="J63" s="21" t="s">
        <v>852</v>
      </c>
      <c r="K63" s="275">
        <v>1</v>
      </c>
      <c r="L63" s="323"/>
      <c r="M63" s="164" t="s">
        <v>370</v>
      </c>
      <c r="N63" s="323"/>
      <c r="O63" s="328"/>
      <c r="P63" s="323"/>
    </row>
    <row r="64" spans="1:16" ht="48.75" customHeight="1">
      <c r="A64" s="698">
        <v>58</v>
      </c>
      <c r="B64" s="323" t="s">
        <v>20</v>
      </c>
      <c r="C64" s="164"/>
      <c r="D64" s="323" t="s">
        <v>116</v>
      </c>
      <c r="E64" s="323" t="s">
        <v>26</v>
      </c>
      <c r="F64" s="184">
        <v>202500</v>
      </c>
      <c r="G64" s="21" t="s">
        <v>23</v>
      </c>
      <c r="H64" s="21" t="s">
        <v>77</v>
      </c>
      <c r="I64" s="21">
        <v>1399</v>
      </c>
      <c r="J64" s="21" t="s">
        <v>852</v>
      </c>
      <c r="K64" s="275">
        <v>1</v>
      </c>
      <c r="L64" s="323"/>
      <c r="M64" s="164" t="s">
        <v>370</v>
      </c>
      <c r="N64" s="323"/>
      <c r="O64" s="328"/>
      <c r="P64" s="323"/>
    </row>
    <row r="65" spans="1:16" ht="48.75" customHeight="1">
      <c r="A65" s="698">
        <v>59</v>
      </c>
      <c r="B65" s="323" t="s">
        <v>20</v>
      </c>
      <c r="C65" s="164"/>
      <c r="D65" s="323" t="s">
        <v>116</v>
      </c>
      <c r="E65" s="323" t="s">
        <v>118</v>
      </c>
      <c r="F65" s="184">
        <v>30000</v>
      </c>
      <c r="G65" s="21" t="s">
        <v>23</v>
      </c>
      <c r="H65" s="21" t="s">
        <v>77</v>
      </c>
      <c r="I65" s="21">
        <v>1399</v>
      </c>
      <c r="J65" s="21" t="s">
        <v>852</v>
      </c>
      <c r="K65" s="275">
        <v>1</v>
      </c>
      <c r="L65" s="323"/>
      <c r="M65" s="164" t="s">
        <v>370</v>
      </c>
      <c r="N65" s="323"/>
      <c r="O65" s="328"/>
      <c r="P65" s="323"/>
    </row>
    <row r="66" spans="1:16" ht="48.75" customHeight="1">
      <c r="A66" s="698">
        <v>60</v>
      </c>
      <c r="B66" s="323" t="s">
        <v>20</v>
      </c>
      <c r="C66" s="164"/>
      <c r="D66" s="323" t="s">
        <v>123</v>
      </c>
      <c r="E66" s="323" t="s">
        <v>890</v>
      </c>
      <c r="F66" s="184">
        <v>1500000</v>
      </c>
      <c r="G66" s="21" t="s">
        <v>23</v>
      </c>
      <c r="H66" s="21" t="s">
        <v>77</v>
      </c>
      <c r="I66" s="21">
        <v>1399</v>
      </c>
      <c r="J66" s="21" t="s">
        <v>852</v>
      </c>
      <c r="K66" s="275">
        <v>1</v>
      </c>
      <c r="L66" s="323"/>
      <c r="M66" s="164" t="s">
        <v>370</v>
      </c>
      <c r="N66" s="323"/>
      <c r="O66" s="323"/>
      <c r="P66" s="323" t="s">
        <v>17</v>
      </c>
    </row>
    <row r="67" spans="1:16" ht="48.75" customHeight="1">
      <c r="A67" s="698">
        <v>61</v>
      </c>
      <c r="B67" s="323" t="s">
        <v>20</v>
      </c>
      <c r="C67" s="164"/>
      <c r="D67" s="334" t="s">
        <v>31</v>
      </c>
      <c r="E67" s="323" t="s">
        <v>119</v>
      </c>
      <c r="F67" s="184">
        <v>282500</v>
      </c>
      <c r="G67" s="21" t="s">
        <v>23</v>
      </c>
      <c r="H67" s="21" t="s">
        <v>77</v>
      </c>
      <c r="I67" s="21">
        <v>1399</v>
      </c>
      <c r="J67" s="21" t="s">
        <v>852</v>
      </c>
      <c r="K67" s="275">
        <v>1</v>
      </c>
      <c r="L67" s="323"/>
      <c r="M67" s="164" t="s">
        <v>370</v>
      </c>
      <c r="N67" s="323"/>
      <c r="O67" s="164"/>
      <c r="P67" s="323"/>
    </row>
    <row r="68" spans="1:16" ht="48.75" customHeight="1">
      <c r="A68" s="698">
        <v>62</v>
      </c>
      <c r="B68" s="323" t="s">
        <v>20</v>
      </c>
      <c r="C68" s="164"/>
      <c r="D68" s="334" t="s">
        <v>31</v>
      </c>
      <c r="E68" s="323" t="s">
        <v>120</v>
      </c>
      <c r="F68" s="184">
        <v>237677</v>
      </c>
      <c r="G68" s="21" t="s">
        <v>23</v>
      </c>
      <c r="H68" s="21" t="s">
        <v>77</v>
      </c>
      <c r="I68" s="21">
        <v>1399</v>
      </c>
      <c r="J68" s="21" t="s">
        <v>852</v>
      </c>
      <c r="K68" s="275">
        <v>1</v>
      </c>
      <c r="L68" s="323"/>
      <c r="M68" s="164" t="s">
        <v>370</v>
      </c>
      <c r="N68" s="323"/>
      <c r="O68" s="164"/>
      <c r="P68" s="323"/>
    </row>
    <row r="69" spans="1:16" ht="48.75" customHeight="1">
      <c r="A69" s="698">
        <v>63</v>
      </c>
      <c r="B69" s="323" t="s">
        <v>20</v>
      </c>
      <c r="C69" s="164"/>
      <c r="D69" s="333"/>
      <c r="E69" s="323" t="s">
        <v>121</v>
      </c>
      <c r="F69" s="184">
        <v>169680</v>
      </c>
      <c r="G69" s="21" t="s">
        <v>23</v>
      </c>
      <c r="H69" s="21" t="s">
        <v>77</v>
      </c>
      <c r="I69" s="21">
        <v>1399</v>
      </c>
      <c r="J69" s="21" t="s">
        <v>852</v>
      </c>
      <c r="K69" s="275">
        <v>1</v>
      </c>
      <c r="L69" s="323"/>
      <c r="M69" s="164" t="s">
        <v>370</v>
      </c>
      <c r="N69" s="323"/>
      <c r="O69" s="164"/>
      <c r="P69" s="323"/>
    </row>
    <row r="70" spans="1:16" ht="48.75" customHeight="1">
      <c r="A70" s="698">
        <v>64</v>
      </c>
      <c r="B70" s="323" t="s">
        <v>20</v>
      </c>
      <c r="C70" s="164"/>
      <c r="D70" s="333"/>
      <c r="E70" s="323" t="s">
        <v>122</v>
      </c>
      <c r="F70" s="184">
        <v>334000</v>
      </c>
      <c r="G70" s="21" t="s">
        <v>23</v>
      </c>
      <c r="H70" s="21" t="s">
        <v>77</v>
      </c>
      <c r="I70" s="21">
        <v>1399</v>
      </c>
      <c r="J70" s="21" t="s">
        <v>852</v>
      </c>
      <c r="K70" s="275">
        <v>1</v>
      </c>
      <c r="L70" s="323"/>
      <c r="M70" s="164" t="s">
        <v>370</v>
      </c>
      <c r="N70" s="323"/>
      <c r="O70" s="164"/>
      <c r="P70" s="323"/>
    </row>
    <row r="71" spans="1:16" ht="48.75" customHeight="1">
      <c r="A71" s="698">
        <v>65</v>
      </c>
      <c r="B71" s="323" t="s">
        <v>20</v>
      </c>
      <c r="C71" s="164"/>
      <c r="D71" s="333"/>
      <c r="E71" s="323" t="s">
        <v>735</v>
      </c>
      <c r="F71" s="184">
        <v>245000</v>
      </c>
      <c r="G71" s="21" t="s">
        <v>23</v>
      </c>
      <c r="H71" s="21" t="s">
        <v>77</v>
      </c>
      <c r="I71" s="21">
        <v>1399</v>
      </c>
      <c r="J71" s="21" t="s">
        <v>852</v>
      </c>
      <c r="K71" s="275">
        <v>1</v>
      </c>
      <c r="L71" s="323"/>
      <c r="M71" s="164" t="s">
        <v>370</v>
      </c>
      <c r="N71" s="323"/>
      <c r="O71" s="164"/>
      <c r="P71" s="323"/>
    </row>
    <row r="72" spans="1:16" ht="48.75" customHeight="1">
      <c r="A72" s="698">
        <v>66</v>
      </c>
      <c r="B72" s="323" t="s">
        <v>20</v>
      </c>
      <c r="C72" s="164"/>
      <c r="D72" s="300"/>
      <c r="E72" s="40" t="s">
        <v>889</v>
      </c>
      <c r="F72" s="37">
        <v>1000000</v>
      </c>
      <c r="G72" s="21" t="s">
        <v>23</v>
      </c>
      <c r="H72" s="21" t="s">
        <v>77</v>
      </c>
      <c r="I72" s="21">
        <v>1399</v>
      </c>
      <c r="J72" s="21" t="s">
        <v>852</v>
      </c>
      <c r="K72" s="275">
        <v>0</v>
      </c>
      <c r="L72" s="323"/>
      <c r="M72" s="164" t="s">
        <v>580</v>
      </c>
      <c r="N72" s="323"/>
      <c r="O72" s="323"/>
      <c r="P72" s="323"/>
    </row>
    <row r="73" spans="1:16" ht="61.15" customHeight="1">
      <c r="A73" s="698">
        <v>67</v>
      </c>
      <c r="B73" s="323" t="s">
        <v>20</v>
      </c>
      <c r="C73" s="164"/>
      <c r="D73" s="323" t="s">
        <v>123</v>
      </c>
      <c r="E73" s="323" t="s">
        <v>888</v>
      </c>
      <c r="F73" s="184">
        <v>400000</v>
      </c>
      <c r="G73" s="21" t="s">
        <v>23</v>
      </c>
      <c r="H73" s="21" t="s">
        <v>77</v>
      </c>
      <c r="I73" s="21">
        <v>1399</v>
      </c>
      <c r="J73" s="21" t="s">
        <v>852</v>
      </c>
      <c r="K73" s="275">
        <v>1</v>
      </c>
      <c r="L73" s="323"/>
      <c r="M73" s="164" t="s">
        <v>370</v>
      </c>
      <c r="N73" s="323"/>
      <c r="O73" s="323"/>
      <c r="P73" s="323"/>
    </row>
    <row r="74" spans="1:16" ht="370.5" customHeight="1">
      <c r="A74" s="698">
        <v>68</v>
      </c>
      <c r="B74" s="323" t="s">
        <v>20</v>
      </c>
      <c r="C74" s="164" t="s">
        <v>887</v>
      </c>
      <c r="D74" s="323" t="s">
        <v>55</v>
      </c>
      <c r="E74" s="323" t="s">
        <v>886</v>
      </c>
      <c r="F74" s="184">
        <v>2000200</v>
      </c>
      <c r="G74" s="21" t="s">
        <v>23</v>
      </c>
      <c r="H74" s="332" t="s">
        <v>77</v>
      </c>
      <c r="I74" s="21">
        <v>1399</v>
      </c>
      <c r="J74" s="21" t="s">
        <v>852</v>
      </c>
      <c r="K74" s="275">
        <v>1</v>
      </c>
      <c r="L74" s="323"/>
      <c r="M74" s="164" t="s">
        <v>370</v>
      </c>
      <c r="N74" s="323"/>
      <c r="O74" s="323"/>
      <c r="P74" s="323"/>
    </row>
    <row r="75" spans="1:16" ht="51.6" customHeight="1">
      <c r="A75" s="698">
        <v>69</v>
      </c>
      <c r="B75" s="323" t="s">
        <v>20</v>
      </c>
      <c r="C75" s="164"/>
      <c r="D75" s="323" t="s">
        <v>40</v>
      </c>
      <c r="E75" s="164" t="s">
        <v>446</v>
      </c>
      <c r="F75" s="184">
        <f>3*1413600</f>
        <v>4240800</v>
      </c>
      <c r="G75" s="21" t="s">
        <v>23</v>
      </c>
      <c r="H75" s="325" t="s">
        <v>41</v>
      </c>
      <c r="I75" s="21">
        <v>1399</v>
      </c>
      <c r="J75" s="21" t="s">
        <v>852</v>
      </c>
      <c r="K75" s="275">
        <v>1</v>
      </c>
      <c r="L75" s="323"/>
      <c r="M75" s="164" t="s">
        <v>370</v>
      </c>
      <c r="N75" s="323"/>
      <c r="O75" s="192"/>
      <c r="P75" s="328"/>
    </row>
    <row r="76" spans="1:16" ht="57.6" customHeight="1">
      <c r="A76" s="698">
        <v>70</v>
      </c>
      <c r="B76" s="323" t="s">
        <v>20</v>
      </c>
      <c r="C76" s="164"/>
      <c r="D76" s="323" t="s">
        <v>40</v>
      </c>
      <c r="E76" s="164" t="s">
        <v>345</v>
      </c>
      <c r="F76" s="184">
        <f>100*58032</f>
        <v>5803200</v>
      </c>
      <c r="G76" s="21" t="s">
        <v>23</v>
      </c>
      <c r="H76" s="325" t="s">
        <v>41</v>
      </c>
      <c r="I76" s="21">
        <v>1399</v>
      </c>
      <c r="J76" s="21" t="s">
        <v>852</v>
      </c>
      <c r="K76" s="275">
        <v>1</v>
      </c>
      <c r="L76" s="323"/>
      <c r="M76" s="164" t="s">
        <v>370</v>
      </c>
      <c r="N76" s="323"/>
      <c r="O76" s="323"/>
      <c r="P76" s="328"/>
    </row>
    <row r="77" spans="1:16" ht="57" customHeight="1">
      <c r="A77" s="698">
        <v>71</v>
      </c>
      <c r="B77" s="323" t="s">
        <v>20</v>
      </c>
      <c r="C77" s="164"/>
      <c r="D77" s="323" t="s">
        <v>40</v>
      </c>
      <c r="E77" s="164" t="s">
        <v>885</v>
      </c>
      <c r="F77" s="359" t="s">
        <v>17</v>
      </c>
      <c r="G77" s="21" t="s">
        <v>17</v>
      </c>
      <c r="H77" s="325" t="s">
        <v>17</v>
      </c>
      <c r="I77" s="21">
        <v>1399</v>
      </c>
      <c r="J77" s="21" t="s">
        <v>852</v>
      </c>
      <c r="K77" s="275">
        <v>1</v>
      </c>
      <c r="L77" s="323"/>
      <c r="M77" s="164" t="s">
        <v>370</v>
      </c>
      <c r="N77" s="323"/>
      <c r="O77" s="193"/>
      <c r="P77" s="359" t="s">
        <v>83</v>
      </c>
    </row>
    <row r="78" spans="1:16" ht="43.15" customHeight="1">
      <c r="A78" s="698">
        <v>72</v>
      </c>
      <c r="B78" s="323" t="s">
        <v>20</v>
      </c>
      <c r="C78" s="164"/>
      <c r="D78" s="323" t="s">
        <v>40</v>
      </c>
      <c r="E78" s="164" t="s">
        <v>884</v>
      </c>
      <c r="F78" s="184">
        <f>848904*4</f>
        <v>3395616</v>
      </c>
      <c r="G78" s="21" t="s">
        <v>23</v>
      </c>
      <c r="H78" s="325" t="s">
        <v>41</v>
      </c>
      <c r="I78" s="21">
        <v>1399</v>
      </c>
      <c r="J78" s="21" t="s">
        <v>852</v>
      </c>
      <c r="K78" s="275">
        <v>1</v>
      </c>
      <c r="L78" s="323"/>
      <c r="M78" s="164" t="s">
        <v>370</v>
      </c>
      <c r="N78" s="323"/>
      <c r="O78" s="192"/>
      <c r="P78" s="328"/>
    </row>
    <row r="79" spans="1:16" ht="82.9" customHeight="1">
      <c r="A79" s="698">
        <v>73</v>
      </c>
      <c r="B79" s="323" t="s">
        <v>20</v>
      </c>
      <c r="C79" s="164"/>
      <c r="D79" s="323" t="s">
        <v>40</v>
      </c>
      <c r="E79" s="349" t="s">
        <v>883</v>
      </c>
      <c r="F79" s="184">
        <f>311000*2</f>
        <v>622000</v>
      </c>
      <c r="G79" s="21" t="s">
        <v>23</v>
      </c>
      <c r="H79" s="325" t="s">
        <v>41</v>
      </c>
      <c r="I79" s="21">
        <v>1399</v>
      </c>
      <c r="J79" s="21" t="s">
        <v>852</v>
      </c>
      <c r="K79" s="275">
        <v>1</v>
      </c>
      <c r="L79" s="323" t="s">
        <v>947</v>
      </c>
      <c r="M79" s="164" t="s">
        <v>370</v>
      </c>
      <c r="N79" s="326" t="s">
        <v>325</v>
      </c>
      <c r="O79" s="22" t="s">
        <v>962</v>
      </c>
      <c r="P79" s="328"/>
    </row>
    <row r="80" spans="1:16" ht="36">
      <c r="A80" s="698">
        <v>74</v>
      </c>
      <c r="B80" s="323" t="s">
        <v>20</v>
      </c>
      <c r="C80" s="164"/>
      <c r="D80" s="323" t="s">
        <v>40</v>
      </c>
      <c r="E80" s="164" t="s">
        <v>882</v>
      </c>
      <c r="F80" s="184">
        <f>148*1260</f>
        <v>186480</v>
      </c>
      <c r="G80" s="21" t="s">
        <v>23</v>
      </c>
      <c r="H80" s="325" t="s">
        <v>41</v>
      </c>
      <c r="I80" s="21">
        <v>1399</v>
      </c>
      <c r="J80" s="21" t="s">
        <v>852</v>
      </c>
      <c r="K80" s="275">
        <v>1</v>
      </c>
      <c r="L80" s="323"/>
      <c r="M80" s="164" t="s">
        <v>370</v>
      </c>
      <c r="N80" s="323"/>
      <c r="O80" s="323"/>
      <c r="P80" s="328"/>
    </row>
    <row r="81" spans="1:31" ht="68.45" customHeight="1">
      <c r="A81" s="698">
        <v>75</v>
      </c>
      <c r="B81" s="323" t="s">
        <v>20</v>
      </c>
      <c r="C81" s="164"/>
      <c r="D81" s="323" t="s">
        <v>40</v>
      </c>
      <c r="E81" s="349" t="s">
        <v>881</v>
      </c>
      <c r="F81" s="184">
        <f>2*375000</f>
        <v>750000</v>
      </c>
      <c r="G81" s="21" t="s">
        <v>23</v>
      </c>
      <c r="H81" s="325" t="s">
        <v>41</v>
      </c>
      <c r="I81" s="21">
        <v>1399</v>
      </c>
      <c r="J81" s="21" t="s">
        <v>852</v>
      </c>
      <c r="K81" s="275">
        <v>1</v>
      </c>
      <c r="L81" s="323" t="s">
        <v>947</v>
      </c>
      <c r="M81" s="164" t="s">
        <v>370</v>
      </c>
      <c r="N81" s="350" t="s">
        <v>325</v>
      </c>
      <c r="O81" s="22" t="s">
        <v>962</v>
      </c>
      <c r="P81" s="328"/>
    </row>
    <row r="82" spans="1:31" s="96" customFormat="1" ht="63.75" customHeight="1">
      <c r="A82" s="698">
        <v>76</v>
      </c>
      <c r="B82" s="40" t="s">
        <v>20</v>
      </c>
      <c r="C82" s="349"/>
      <c r="D82" s="40" t="s">
        <v>40</v>
      </c>
      <c r="E82" s="349" t="s">
        <v>722</v>
      </c>
      <c r="F82" s="37">
        <v>372000</v>
      </c>
      <c r="G82" s="86" t="s">
        <v>23</v>
      </c>
      <c r="H82" s="440" t="s">
        <v>41</v>
      </c>
      <c r="I82" s="86">
        <v>1399</v>
      </c>
      <c r="J82" s="86" t="s">
        <v>852</v>
      </c>
      <c r="K82" s="39">
        <v>1</v>
      </c>
      <c r="L82" s="40"/>
      <c r="M82" s="164" t="s">
        <v>370</v>
      </c>
      <c r="N82" s="40"/>
      <c r="O82" s="40"/>
      <c r="P82" s="353"/>
    </row>
    <row r="83" spans="1:31" ht="36">
      <c r="A83" s="698">
        <v>77</v>
      </c>
      <c r="B83" s="323" t="s">
        <v>20</v>
      </c>
      <c r="C83" s="164"/>
      <c r="D83" s="323" t="s">
        <v>40</v>
      </c>
      <c r="E83" s="164" t="s">
        <v>87</v>
      </c>
      <c r="F83" s="184">
        <f>50*3645</f>
        <v>182250</v>
      </c>
      <c r="G83" s="21" t="s">
        <v>23</v>
      </c>
      <c r="H83" s="325" t="s">
        <v>41</v>
      </c>
      <c r="I83" s="21">
        <v>1399</v>
      </c>
      <c r="J83" s="21" t="s">
        <v>852</v>
      </c>
      <c r="K83" s="275">
        <v>1</v>
      </c>
      <c r="L83" s="323"/>
      <c r="M83" s="164" t="s">
        <v>370</v>
      </c>
      <c r="N83" s="323"/>
      <c r="O83" s="323"/>
      <c r="P83" s="323"/>
    </row>
    <row r="84" spans="1:31" ht="36">
      <c r="A84" s="698">
        <v>78</v>
      </c>
      <c r="B84" s="323" t="s">
        <v>20</v>
      </c>
      <c r="C84" s="164"/>
      <c r="D84" s="323" t="s">
        <v>40</v>
      </c>
      <c r="E84" s="164" t="s">
        <v>124</v>
      </c>
      <c r="F84" s="184">
        <f>44640*5</f>
        <v>223200</v>
      </c>
      <c r="G84" s="21" t="s">
        <v>23</v>
      </c>
      <c r="H84" s="325" t="s">
        <v>41</v>
      </c>
      <c r="I84" s="21">
        <v>1399</v>
      </c>
      <c r="J84" s="21" t="s">
        <v>852</v>
      </c>
      <c r="K84" s="275">
        <v>1</v>
      </c>
      <c r="L84" s="323"/>
      <c r="M84" s="164" t="s">
        <v>370</v>
      </c>
      <c r="N84" s="323"/>
      <c r="O84" s="323"/>
      <c r="P84" s="328"/>
      <c r="T84" s="806"/>
      <c r="U84" s="806"/>
      <c r="V84" s="806"/>
      <c r="W84" s="806"/>
      <c r="X84" s="806"/>
      <c r="Y84" s="806"/>
      <c r="Z84" s="806"/>
      <c r="AA84" s="806"/>
      <c r="AB84" s="806"/>
      <c r="AC84" s="806"/>
      <c r="AD84" s="806"/>
      <c r="AE84" s="806"/>
    </row>
    <row r="85" spans="1:31" ht="31.9" customHeight="1">
      <c r="A85" s="698">
        <v>79</v>
      </c>
      <c r="B85" s="323" t="s">
        <v>20</v>
      </c>
      <c r="C85" s="164"/>
      <c r="D85" s="323" t="s">
        <v>40</v>
      </c>
      <c r="E85" s="164" t="s">
        <v>441</v>
      </c>
      <c r="F85" s="184">
        <f>15*52471</f>
        <v>787065</v>
      </c>
      <c r="G85" s="21" t="s">
        <v>23</v>
      </c>
      <c r="H85" s="325" t="s">
        <v>41</v>
      </c>
      <c r="I85" s="21">
        <v>1399</v>
      </c>
      <c r="J85" s="21" t="s">
        <v>852</v>
      </c>
      <c r="K85" s="275">
        <v>1</v>
      </c>
      <c r="L85" s="323"/>
      <c r="M85" s="164" t="s">
        <v>370</v>
      </c>
      <c r="N85" s="323"/>
      <c r="O85" s="323"/>
      <c r="P85" s="328"/>
    </row>
    <row r="86" spans="1:31" ht="46.15" customHeight="1">
      <c r="A86" s="698">
        <v>80</v>
      </c>
      <c r="B86" s="323" t="s">
        <v>20</v>
      </c>
      <c r="C86" s="164"/>
      <c r="D86" s="323" t="s">
        <v>40</v>
      </c>
      <c r="E86" s="164" t="s">
        <v>413</v>
      </c>
      <c r="F86" s="184">
        <f>200*1518</f>
        <v>303600</v>
      </c>
      <c r="G86" s="21" t="s">
        <v>23</v>
      </c>
      <c r="H86" s="325" t="s">
        <v>41</v>
      </c>
      <c r="I86" s="21">
        <v>1399</v>
      </c>
      <c r="J86" s="21" t="s">
        <v>852</v>
      </c>
      <c r="K86" s="275">
        <v>1</v>
      </c>
      <c r="L86" s="323"/>
      <c r="M86" s="164" t="s">
        <v>370</v>
      </c>
      <c r="N86" s="323"/>
      <c r="O86" s="323"/>
      <c r="P86" s="323"/>
    </row>
    <row r="87" spans="1:31" ht="42" customHeight="1">
      <c r="A87" s="698">
        <v>81</v>
      </c>
      <c r="B87" s="323" t="s">
        <v>20</v>
      </c>
      <c r="C87" s="164"/>
      <c r="D87" s="323" t="s">
        <v>40</v>
      </c>
      <c r="E87" s="164" t="s">
        <v>48</v>
      </c>
      <c r="F87" s="184">
        <f>2*42514</f>
        <v>85028</v>
      </c>
      <c r="G87" s="21" t="s">
        <v>23</v>
      </c>
      <c r="H87" s="325" t="s">
        <v>41</v>
      </c>
      <c r="I87" s="21">
        <v>1399</v>
      </c>
      <c r="J87" s="21" t="s">
        <v>852</v>
      </c>
      <c r="K87" s="275">
        <v>1</v>
      </c>
      <c r="L87" s="323"/>
      <c r="M87" s="164" t="s">
        <v>370</v>
      </c>
      <c r="N87" s="323"/>
      <c r="O87" s="323"/>
      <c r="P87" s="328"/>
    </row>
    <row r="88" spans="1:31" ht="108">
      <c r="A88" s="698">
        <v>82</v>
      </c>
      <c r="B88" s="323" t="s">
        <v>20</v>
      </c>
      <c r="C88" s="164"/>
      <c r="D88" s="323" t="s">
        <v>40</v>
      </c>
      <c r="E88" s="323" t="s">
        <v>880</v>
      </c>
      <c r="F88" s="184">
        <f>100*1041</f>
        <v>104100</v>
      </c>
      <c r="G88" s="21" t="s">
        <v>23</v>
      </c>
      <c r="H88" s="325" t="s">
        <v>41</v>
      </c>
      <c r="I88" s="21">
        <v>1399</v>
      </c>
      <c r="J88" s="21" t="s">
        <v>852</v>
      </c>
      <c r="K88" s="275">
        <v>1</v>
      </c>
      <c r="L88" s="323" t="s">
        <v>947</v>
      </c>
      <c r="M88" s="164" t="s">
        <v>370</v>
      </c>
      <c r="N88" s="454" t="s">
        <v>325</v>
      </c>
      <c r="O88" s="22" t="s">
        <v>962</v>
      </c>
      <c r="P88" s="328"/>
    </row>
    <row r="89" spans="1:31" ht="36">
      <c r="A89" s="698">
        <v>83</v>
      </c>
      <c r="B89" s="323" t="s">
        <v>20</v>
      </c>
      <c r="C89" s="164"/>
      <c r="D89" s="323" t="s">
        <v>40</v>
      </c>
      <c r="E89" s="323" t="s">
        <v>879</v>
      </c>
      <c r="F89" s="184">
        <f>150*729</f>
        <v>109350</v>
      </c>
      <c r="G89" s="21" t="s">
        <v>23</v>
      </c>
      <c r="H89" s="325" t="s">
        <v>41</v>
      </c>
      <c r="I89" s="21">
        <v>1399</v>
      </c>
      <c r="J89" s="21" t="s">
        <v>852</v>
      </c>
      <c r="K89" s="275">
        <v>1</v>
      </c>
      <c r="L89" s="323"/>
      <c r="M89" s="164" t="s">
        <v>370</v>
      </c>
      <c r="N89" s="323"/>
      <c r="O89" s="323"/>
      <c r="P89" s="328"/>
    </row>
    <row r="90" spans="1:31" ht="54">
      <c r="A90" s="698">
        <v>84</v>
      </c>
      <c r="B90" s="323" t="s">
        <v>20</v>
      </c>
      <c r="C90" s="164"/>
      <c r="D90" s="323" t="s">
        <v>40</v>
      </c>
      <c r="E90" s="323" t="s">
        <v>93</v>
      </c>
      <c r="F90" s="184">
        <f>911*100</f>
        <v>91100</v>
      </c>
      <c r="G90" s="21" t="s">
        <v>23</v>
      </c>
      <c r="H90" s="325" t="s">
        <v>41</v>
      </c>
      <c r="I90" s="21">
        <v>1399</v>
      </c>
      <c r="J90" s="21" t="s">
        <v>852</v>
      </c>
      <c r="K90" s="275">
        <v>1</v>
      </c>
      <c r="L90" s="323"/>
      <c r="M90" s="164" t="s">
        <v>370</v>
      </c>
      <c r="N90" s="323"/>
      <c r="O90" s="323"/>
      <c r="P90" s="328"/>
    </row>
    <row r="91" spans="1:31" ht="36">
      <c r="A91" s="698">
        <v>85</v>
      </c>
      <c r="B91" s="441" t="s">
        <v>20</v>
      </c>
      <c r="C91" s="164"/>
      <c r="D91" s="441" t="s">
        <v>40</v>
      </c>
      <c r="E91" s="164" t="s">
        <v>964</v>
      </c>
      <c r="F91" s="184">
        <f>350*2617</f>
        <v>915950</v>
      </c>
      <c r="G91" s="439" t="s">
        <v>23</v>
      </c>
      <c r="H91" s="443" t="s">
        <v>41</v>
      </c>
      <c r="I91" s="439">
        <v>1399</v>
      </c>
      <c r="J91" s="439" t="s">
        <v>852</v>
      </c>
      <c r="K91" s="275">
        <v>1</v>
      </c>
      <c r="L91" s="441"/>
      <c r="M91" s="164" t="s">
        <v>370</v>
      </c>
      <c r="N91" s="323"/>
      <c r="O91" s="323"/>
      <c r="P91" s="328"/>
    </row>
    <row r="92" spans="1:31" ht="36" customHeight="1">
      <c r="A92" s="698">
        <v>86</v>
      </c>
      <c r="B92" s="323" t="s">
        <v>20</v>
      </c>
      <c r="C92" s="164"/>
      <c r="D92" s="323" t="s">
        <v>40</v>
      </c>
      <c r="E92" s="6" t="s">
        <v>439</v>
      </c>
      <c r="F92" s="184">
        <f>315*800</f>
        <v>252000</v>
      </c>
      <c r="G92" s="21" t="s">
        <v>23</v>
      </c>
      <c r="H92" s="325" t="s">
        <v>41</v>
      </c>
      <c r="I92" s="21">
        <v>1399</v>
      </c>
      <c r="J92" s="21" t="s">
        <v>852</v>
      </c>
      <c r="K92" s="275">
        <v>1</v>
      </c>
      <c r="L92" s="323"/>
      <c r="M92" s="164" t="s">
        <v>370</v>
      </c>
      <c r="N92" s="323"/>
      <c r="O92" s="323"/>
      <c r="P92" s="328"/>
    </row>
    <row r="93" spans="1:31" ht="48.6" customHeight="1">
      <c r="A93" s="698">
        <v>87</v>
      </c>
      <c r="B93" s="441" t="s">
        <v>20</v>
      </c>
      <c r="C93" s="164"/>
      <c r="D93" s="441" t="s">
        <v>40</v>
      </c>
      <c r="E93" s="349" t="s">
        <v>963</v>
      </c>
      <c r="F93" s="37">
        <v>300000</v>
      </c>
      <c r="G93" s="439" t="s">
        <v>23</v>
      </c>
      <c r="H93" s="443" t="s">
        <v>41</v>
      </c>
      <c r="I93" s="439">
        <v>1399</v>
      </c>
      <c r="J93" s="439" t="s">
        <v>852</v>
      </c>
      <c r="K93" s="275">
        <v>1</v>
      </c>
      <c r="L93" s="441"/>
      <c r="M93" s="164" t="s">
        <v>370</v>
      </c>
      <c r="N93" s="323"/>
      <c r="O93" s="323"/>
      <c r="P93" s="323"/>
    </row>
    <row r="94" spans="1:31" ht="67.900000000000006" customHeight="1">
      <c r="A94" s="698">
        <v>88</v>
      </c>
      <c r="B94" s="323" t="s">
        <v>20</v>
      </c>
      <c r="C94" s="164"/>
      <c r="D94" s="323" t="s">
        <v>40</v>
      </c>
      <c r="E94" s="6" t="s">
        <v>95</v>
      </c>
      <c r="F94" s="184">
        <f>10*10416</f>
        <v>104160</v>
      </c>
      <c r="G94" s="21" t="s">
        <v>23</v>
      </c>
      <c r="H94" s="325" t="s">
        <v>41</v>
      </c>
      <c r="I94" s="21">
        <v>1399</v>
      </c>
      <c r="J94" s="21" t="s">
        <v>852</v>
      </c>
      <c r="K94" s="275">
        <v>1</v>
      </c>
      <c r="L94" s="323"/>
      <c r="M94" s="164" t="s">
        <v>370</v>
      </c>
      <c r="N94" s="323"/>
      <c r="O94" s="323"/>
      <c r="P94" s="328"/>
    </row>
    <row r="95" spans="1:31" ht="108">
      <c r="A95" s="698">
        <v>89</v>
      </c>
      <c r="B95" s="323" t="s">
        <v>20</v>
      </c>
      <c r="C95" s="164"/>
      <c r="D95" s="323" t="s">
        <v>40</v>
      </c>
      <c r="E95" s="6" t="s">
        <v>356</v>
      </c>
      <c r="F95" s="184">
        <f>30*36456</f>
        <v>1093680</v>
      </c>
      <c r="G95" s="21" t="s">
        <v>23</v>
      </c>
      <c r="H95" s="325" t="s">
        <v>41</v>
      </c>
      <c r="I95" s="21">
        <v>1399</v>
      </c>
      <c r="J95" s="21" t="s">
        <v>852</v>
      </c>
      <c r="K95" s="48">
        <v>1</v>
      </c>
      <c r="L95" s="104" t="s">
        <v>947</v>
      </c>
      <c r="M95" s="164" t="s">
        <v>370</v>
      </c>
      <c r="N95" s="637" t="s">
        <v>325</v>
      </c>
      <c r="O95" s="22" t="s">
        <v>962</v>
      </c>
      <c r="P95" s="40"/>
    </row>
    <row r="96" spans="1:31" ht="108">
      <c r="A96" s="698">
        <v>90</v>
      </c>
      <c r="B96" s="323" t="s">
        <v>20</v>
      </c>
      <c r="C96" s="164"/>
      <c r="D96" s="323" t="s">
        <v>40</v>
      </c>
      <c r="E96" s="349" t="s">
        <v>126</v>
      </c>
      <c r="F96" s="184">
        <f>3*396797</f>
        <v>1190391</v>
      </c>
      <c r="G96" s="21" t="s">
        <v>23</v>
      </c>
      <c r="H96" s="325" t="s">
        <v>41</v>
      </c>
      <c r="I96" s="21">
        <v>1399</v>
      </c>
      <c r="J96" s="21" t="s">
        <v>852</v>
      </c>
      <c r="K96" s="48">
        <v>1</v>
      </c>
      <c r="L96" s="104" t="s">
        <v>947</v>
      </c>
      <c r="M96" s="164" t="s">
        <v>370</v>
      </c>
      <c r="N96" s="326" t="s">
        <v>325</v>
      </c>
      <c r="O96" s="22" t="s">
        <v>962</v>
      </c>
      <c r="P96" s="323"/>
    </row>
    <row r="97" spans="1:16" ht="108">
      <c r="A97" s="698">
        <v>91</v>
      </c>
      <c r="B97" s="323" t="s">
        <v>20</v>
      </c>
      <c r="C97" s="164"/>
      <c r="D97" s="323" t="s">
        <v>40</v>
      </c>
      <c r="E97" s="349" t="s">
        <v>878</v>
      </c>
      <c r="F97" s="184">
        <v>1000000</v>
      </c>
      <c r="G97" s="21" t="s">
        <v>23</v>
      </c>
      <c r="H97" s="325" t="s">
        <v>41</v>
      </c>
      <c r="I97" s="21">
        <v>1399</v>
      </c>
      <c r="J97" s="21" t="s">
        <v>852</v>
      </c>
      <c r="K97" s="48">
        <v>1</v>
      </c>
      <c r="L97" s="104" t="s">
        <v>947</v>
      </c>
      <c r="M97" s="164" t="s">
        <v>370</v>
      </c>
      <c r="N97" s="326" t="s">
        <v>325</v>
      </c>
      <c r="O97" s="22" t="s">
        <v>962</v>
      </c>
      <c r="P97" s="328"/>
    </row>
    <row r="98" spans="1:16" ht="84" customHeight="1">
      <c r="A98" s="698">
        <v>92</v>
      </c>
      <c r="B98" s="323" t="s">
        <v>20</v>
      </c>
      <c r="C98" s="164"/>
      <c r="D98" s="323" t="s">
        <v>40</v>
      </c>
      <c r="E98" s="349" t="s">
        <v>96</v>
      </c>
      <c r="F98" s="184">
        <v>2695000</v>
      </c>
      <c r="G98" s="21" t="s">
        <v>23</v>
      </c>
      <c r="H98" s="325" t="s">
        <v>41</v>
      </c>
      <c r="I98" s="21">
        <v>1399</v>
      </c>
      <c r="J98" s="21" t="s">
        <v>852</v>
      </c>
      <c r="K98" s="48">
        <v>1</v>
      </c>
      <c r="L98" s="104" t="s">
        <v>947</v>
      </c>
      <c r="M98" s="164" t="s">
        <v>370</v>
      </c>
      <c r="N98" s="326" t="s">
        <v>325</v>
      </c>
      <c r="O98" s="22" t="s">
        <v>962</v>
      </c>
      <c r="P98" s="328"/>
    </row>
    <row r="99" spans="1:16" ht="66.599999999999994" customHeight="1">
      <c r="A99" s="698">
        <v>93</v>
      </c>
      <c r="B99" s="323" t="s">
        <v>20</v>
      </c>
      <c r="C99" s="164"/>
      <c r="D99" s="323" t="s">
        <v>40</v>
      </c>
      <c r="E99" s="164" t="s">
        <v>127</v>
      </c>
      <c r="F99" s="184">
        <f>8* 66000</f>
        <v>528000</v>
      </c>
      <c r="G99" s="21" t="s">
        <v>23</v>
      </c>
      <c r="H99" s="325" t="s">
        <v>41</v>
      </c>
      <c r="I99" s="21">
        <v>1399</v>
      </c>
      <c r="J99" s="21" t="s">
        <v>852</v>
      </c>
      <c r="K99" s="275">
        <v>1</v>
      </c>
      <c r="L99" s="323"/>
      <c r="M99" s="164" t="s">
        <v>370</v>
      </c>
      <c r="N99" s="323"/>
      <c r="O99" s="323"/>
      <c r="P99" s="328"/>
    </row>
    <row r="100" spans="1:16" ht="76.150000000000006" customHeight="1">
      <c r="A100" s="698">
        <v>94</v>
      </c>
      <c r="B100" s="323" t="s">
        <v>20</v>
      </c>
      <c r="C100" s="164"/>
      <c r="D100" s="323" t="s">
        <v>40</v>
      </c>
      <c r="E100" s="6" t="s">
        <v>128</v>
      </c>
      <c r="F100" s="184">
        <f>16*30000</f>
        <v>480000</v>
      </c>
      <c r="G100" s="21" t="s">
        <v>23</v>
      </c>
      <c r="H100" s="325" t="s">
        <v>41</v>
      </c>
      <c r="I100" s="21">
        <v>1399</v>
      </c>
      <c r="J100" s="21" t="s">
        <v>852</v>
      </c>
      <c r="K100" s="275">
        <v>1</v>
      </c>
      <c r="L100" s="323"/>
      <c r="M100" s="164" t="s">
        <v>370</v>
      </c>
      <c r="N100" s="323"/>
      <c r="O100" s="323"/>
      <c r="P100" s="328"/>
    </row>
    <row r="101" spans="1:16" ht="72" customHeight="1">
      <c r="A101" s="698">
        <v>95</v>
      </c>
      <c r="B101" s="323" t="s">
        <v>20</v>
      </c>
      <c r="C101" s="164"/>
      <c r="D101" s="323" t="s">
        <v>40</v>
      </c>
      <c r="E101" s="349" t="s">
        <v>129</v>
      </c>
      <c r="F101" s="184">
        <f>1040*900</f>
        <v>936000</v>
      </c>
      <c r="G101" s="21" t="s">
        <v>23</v>
      </c>
      <c r="H101" s="325" t="s">
        <v>41</v>
      </c>
      <c r="I101" s="21">
        <v>1399</v>
      </c>
      <c r="J101" s="21" t="s">
        <v>852</v>
      </c>
      <c r="K101" s="275">
        <v>1</v>
      </c>
      <c r="L101" s="323" t="s">
        <v>947</v>
      </c>
      <c r="M101" s="164" t="s">
        <v>370</v>
      </c>
      <c r="N101" s="326" t="s">
        <v>325</v>
      </c>
      <c r="O101" s="22" t="s">
        <v>962</v>
      </c>
      <c r="P101" s="328"/>
    </row>
    <row r="102" spans="1:16" ht="72">
      <c r="A102" s="698">
        <v>96</v>
      </c>
      <c r="B102" s="6" t="s">
        <v>75</v>
      </c>
      <c r="C102" s="164"/>
      <c r="D102" s="323" t="s">
        <v>76</v>
      </c>
      <c r="E102" s="323" t="s">
        <v>850</v>
      </c>
      <c r="F102" s="185">
        <v>82955308</v>
      </c>
      <c r="G102" s="82" t="s">
        <v>23</v>
      </c>
      <c r="H102" s="329" t="s">
        <v>77</v>
      </c>
      <c r="I102" s="82">
        <v>1399</v>
      </c>
      <c r="J102" s="326" t="s">
        <v>25</v>
      </c>
      <c r="K102" s="163">
        <v>1</v>
      </c>
      <c r="L102" s="329"/>
      <c r="M102" s="164" t="s">
        <v>370</v>
      </c>
      <c r="N102" s="326"/>
      <c r="O102" s="326"/>
      <c r="P102" s="329"/>
    </row>
    <row r="103" spans="1:16" s="461" customFormat="1" ht="58.15" customHeight="1">
      <c r="A103" s="698">
        <v>97</v>
      </c>
      <c r="B103" s="462" t="s">
        <v>20</v>
      </c>
      <c r="C103" s="164"/>
      <c r="D103" s="462" t="s">
        <v>67</v>
      </c>
      <c r="E103" s="40" t="s">
        <v>848</v>
      </c>
      <c r="F103" s="37">
        <v>0</v>
      </c>
      <c r="G103" s="86" t="s">
        <v>23</v>
      </c>
      <c r="H103" s="440" t="s">
        <v>77</v>
      </c>
      <c r="I103" s="458">
        <v>1401</v>
      </c>
      <c r="J103" s="458" t="s">
        <v>68</v>
      </c>
      <c r="K103" s="275" t="s">
        <v>17</v>
      </c>
      <c r="L103" s="462" t="s">
        <v>580</v>
      </c>
      <c r="M103" s="164" t="s">
        <v>17</v>
      </c>
      <c r="N103" s="462" t="s">
        <v>560</v>
      </c>
      <c r="O103" s="462"/>
      <c r="P103" s="469"/>
    </row>
    <row r="104" spans="1:16" s="461" customFormat="1" ht="87" customHeight="1">
      <c r="A104" s="698">
        <v>98</v>
      </c>
      <c r="B104" s="237" t="s">
        <v>20</v>
      </c>
      <c r="C104" s="164" t="s">
        <v>404</v>
      </c>
      <c r="D104" s="349" t="s">
        <v>111</v>
      </c>
      <c r="E104" s="349" t="s">
        <v>849</v>
      </c>
      <c r="F104" s="37">
        <v>860000</v>
      </c>
      <c r="G104" s="458" t="s">
        <v>23</v>
      </c>
      <c r="H104" s="182" t="s">
        <v>77</v>
      </c>
      <c r="I104" s="458">
        <v>1399</v>
      </c>
      <c r="J104" s="458" t="s">
        <v>25</v>
      </c>
      <c r="K104" s="275">
        <v>1</v>
      </c>
      <c r="L104" s="237"/>
      <c r="M104" s="164" t="s">
        <v>370</v>
      </c>
      <c r="N104" s="237"/>
      <c r="O104" s="237"/>
      <c r="P104" s="182"/>
    </row>
    <row r="105" spans="1:16" s="461" customFormat="1" ht="55.15" customHeight="1">
      <c r="A105" s="698">
        <v>99</v>
      </c>
      <c r="B105" s="237" t="s">
        <v>20</v>
      </c>
      <c r="C105" s="164" t="s">
        <v>404</v>
      </c>
      <c r="D105" s="349" t="s">
        <v>111</v>
      </c>
      <c r="E105" s="349" t="s">
        <v>112</v>
      </c>
      <c r="F105" s="37">
        <v>240000</v>
      </c>
      <c r="G105" s="458" t="s">
        <v>23</v>
      </c>
      <c r="H105" s="182" t="s">
        <v>77</v>
      </c>
      <c r="I105" s="458">
        <v>1399</v>
      </c>
      <c r="J105" s="458" t="s">
        <v>25</v>
      </c>
      <c r="K105" s="275">
        <v>1</v>
      </c>
      <c r="L105" s="237"/>
      <c r="M105" s="164" t="s">
        <v>370</v>
      </c>
      <c r="N105" s="237"/>
      <c r="O105" s="237"/>
      <c r="P105" s="182"/>
    </row>
    <row r="106" spans="1:16" s="552" customFormat="1" ht="54" customHeight="1">
      <c r="A106" s="698">
        <v>100</v>
      </c>
      <c r="B106" s="237" t="s">
        <v>20</v>
      </c>
      <c r="C106" s="164"/>
      <c r="D106" s="237" t="s">
        <v>130</v>
      </c>
      <c r="E106" s="237" t="s">
        <v>130</v>
      </c>
      <c r="F106" s="37">
        <v>814181</v>
      </c>
      <c r="G106" s="551" t="s">
        <v>23</v>
      </c>
      <c r="H106" s="182" t="s">
        <v>77</v>
      </c>
      <c r="I106" s="551">
        <v>1399</v>
      </c>
      <c r="J106" s="551" t="s">
        <v>25</v>
      </c>
      <c r="K106" s="39" t="s">
        <v>17</v>
      </c>
      <c r="L106" s="237" t="s">
        <v>72</v>
      </c>
      <c r="M106" s="22"/>
      <c r="N106" s="623" t="s">
        <v>581</v>
      </c>
      <c r="O106" s="237" t="s">
        <v>1830</v>
      </c>
      <c r="P106" s="182"/>
    </row>
  </sheetData>
  <autoFilter ref="D1:D102"/>
  <mergeCells count="15">
    <mergeCell ref="T84:AE84"/>
    <mergeCell ref="A1:P4"/>
    <mergeCell ref="A5:A6"/>
    <mergeCell ref="B5:B6"/>
    <mergeCell ref="C5:C6"/>
    <mergeCell ref="D5:D6"/>
    <mergeCell ref="E5:E6"/>
    <mergeCell ref="F5:H5"/>
    <mergeCell ref="I5:I6"/>
    <mergeCell ref="J5:J6"/>
    <mergeCell ref="K5:K6"/>
    <mergeCell ref="L5:M5"/>
    <mergeCell ref="N5:N6"/>
    <mergeCell ref="O5:O6"/>
    <mergeCell ref="P5:P6"/>
  </mergeCells>
  <printOptions horizontalCentered="1"/>
  <pageMargins left="0.2" right="0.2" top="0.5" bottom="0.5" header="0.3" footer="0.3"/>
  <pageSetup paperSize="9" scale="62" orientation="landscape" r:id="rId1"/>
  <headerFooter>
    <oddFooter>&amp;C&amp;P</oddFooter>
  </headerFooter>
  <rowBreaks count="1" manualBreakCount="1">
    <brk id="94" max="16383" man="1"/>
  </rowBreaks>
</worksheet>
</file>

<file path=xl/worksheets/sheet7.xml><?xml version="1.0" encoding="utf-8"?>
<worksheet xmlns="http://schemas.openxmlformats.org/spreadsheetml/2006/main" xmlns:r="http://schemas.openxmlformats.org/officeDocument/2006/relationships">
  <sheetPr>
    <tabColor rgb="FF92D050"/>
  </sheetPr>
  <dimension ref="A1:AG43"/>
  <sheetViews>
    <sheetView rightToLeft="1" view="pageBreakPreview" zoomScale="71" zoomScaleSheetLayoutView="71" workbookViewId="0">
      <pane xSplit="1" ySplit="6" topLeftCell="B38" activePane="bottomRight" state="frozen"/>
      <selection activeCell="D14" sqref="D14"/>
      <selection pane="topRight" activeCell="D14" sqref="D14"/>
      <selection pane="bottomLeft" activeCell="D14" sqref="D14"/>
      <selection pane="bottomRight" activeCell="D43" sqref="D43"/>
    </sheetView>
  </sheetViews>
  <sheetFormatPr defaultColWidth="9.140625" defaultRowHeight="15"/>
  <cols>
    <col min="1" max="1" width="7" style="11" customWidth="1"/>
    <col min="2" max="2" width="13.28515625" style="7" customWidth="1"/>
    <col min="3" max="3" width="16.42578125" style="7" customWidth="1"/>
    <col min="4" max="4" width="33.7109375" style="7" customWidth="1"/>
    <col min="5" max="5" width="16.5703125" style="2" customWidth="1"/>
    <col min="6" max="6" width="13.140625" style="2" customWidth="1"/>
    <col min="7" max="7" width="10.28515625" style="2" customWidth="1"/>
    <col min="8" max="8" width="11.140625" style="1" customWidth="1"/>
    <col min="9" max="9" width="13.28515625" style="1" customWidth="1"/>
    <col min="10" max="10" width="10" style="1" customWidth="1"/>
    <col min="11" max="11" width="9.28515625" style="9" customWidth="1"/>
    <col min="12" max="12" width="14.42578125" style="9" customWidth="1"/>
    <col min="13" max="13" width="21" style="9" customWidth="1"/>
    <col min="14" max="14" width="14" style="9" customWidth="1"/>
    <col min="15" max="15" width="12.28515625" style="4" customWidth="1"/>
    <col min="16" max="16384" width="9.140625" style="4"/>
  </cols>
  <sheetData>
    <row r="1" spans="1:15" ht="15" customHeight="1">
      <c r="A1" s="788" t="s">
        <v>1805</v>
      </c>
      <c r="B1" s="823"/>
      <c r="C1" s="823"/>
      <c r="D1" s="823"/>
      <c r="E1" s="823"/>
      <c r="F1" s="823"/>
      <c r="G1" s="823"/>
      <c r="H1" s="823"/>
      <c r="I1" s="823"/>
      <c r="J1" s="823"/>
      <c r="K1" s="823"/>
      <c r="L1" s="823"/>
      <c r="M1" s="823"/>
      <c r="N1" s="823"/>
      <c r="O1" s="823"/>
    </row>
    <row r="2" spans="1:15" ht="15" customHeight="1">
      <c r="A2" s="823"/>
      <c r="B2" s="823"/>
      <c r="C2" s="823"/>
      <c r="D2" s="823"/>
      <c r="E2" s="823"/>
      <c r="F2" s="823"/>
      <c r="G2" s="823"/>
      <c r="H2" s="823"/>
      <c r="I2" s="823"/>
      <c r="J2" s="823"/>
      <c r="K2" s="823"/>
      <c r="L2" s="823"/>
      <c r="M2" s="823"/>
      <c r="N2" s="823"/>
      <c r="O2" s="823"/>
    </row>
    <row r="3" spans="1:15" ht="15" customHeight="1">
      <c r="A3" s="823"/>
      <c r="B3" s="823"/>
      <c r="C3" s="823"/>
      <c r="D3" s="823"/>
      <c r="E3" s="823"/>
      <c r="F3" s="823"/>
      <c r="G3" s="823"/>
      <c r="H3" s="823"/>
      <c r="I3" s="823"/>
      <c r="J3" s="823"/>
      <c r="K3" s="823"/>
      <c r="L3" s="823"/>
      <c r="M3" s="823"/>
      <c r="N3" s="823"/>
      <c r="O3" s="823"/>
    </row>
    <row r="4" spans="1:15" ht="28.5" customHeight="1">
      <c r="A4" s="824"/>
      <c r="B4" s="824"/>
      <c r="C4" s="824"/>
      <c r="D4" s="824"/>
      <c r="E4" s="824"/>
      <c r="F4" s="824"/>
      <c r="G4" s="824"/>
      <c r="H4" s="824"/>
      <c r="I4" s="824"/>
      <c r="J4" s="824"/>
      <c r="K4" s="824"/>
      <c r="L4" s="824"/>
      <c r="M4" s="824"/>
      <c r="N4" s="824"/>
      <c r="O4" s="824"/>
    </row>
    <row r="5" spans="1:15" ht="22.15" customHeight="1">
      <c r="A5" s="791" t="s">
        <v>0</v>
      </c>
      <c r="B5" s="791" t="s">
        <v>19</v>
      </c>
      <c r="C5" s="791" t="s">
        <v>1</v>
      </c>
      <c r="D5" s="791" t="s">
        <v>15</v>
      </c>
      <c r="E5" s="791" t="s">
        <v>9</v>
      </c>
      <c r="F5" s="791"/>
      <c r="G5" s="791"/>
      <c r="H5" s="791" t="s">
        <v>7</v>
      </c>
      <c r="I5" s="791" t="s">
        <v>6</v>
      </c>
      <c r="J5" s="791" t="s">
        <v>16</v>
      </c>
      <c r="K5" s="791" t="s">
        <v>2</v>
      </c>
      <c r="L5" s="791"/>
      <c r="M5" s="791" t="s">
        <v>5</v>
      </c>
      <c r="N5" s="791" t="s">
        <v>13</v>
      </c>
      <c r="O5" s="791" t="s">
        <v>8</v>
      </c>
    </row>
    <row r="6" spans="1:15" ht="40.5" customHeight="1">
      <c r="A6" s="791"/>
      <c r="B6" s="791"/>
      <c r="C6" s="791"/>
      <c r="D6" s="791"/>
      <c r="E6" s="69" t="s">
        <v>10</v>
      </c>
      <c r="F6" s="69" t="s">
        <v>11</v>
      </c>
      <c r="G6" s="69" t="s">
        <v>12</v>
      </c>
      <c r="H6" s="791"/>
      <c r="I6" s="791"/>
      <c r="J6" s="791"/>
      <c r="K6" s="69" t="s">
        <v>3</v>
      </c>
      <c r="L6" s="69" t="s">
        <v>4</v>
      </c>
      <c r="M6" s="791"/>
      <c r="N6" s="791"/>
      <c r="O6" s="791"/>
    </row>
    <row r="7" spans="1:15" s="5" customFormat="1" ht="75" customHeight="1">
      <c r="A7" s="583">
        <v>1</v>
      </c>
      <c r="B7" s="43" t="s">
        <v>1513</v>
      </c>
      <c r="C7" s="33" t="s">
        <v>320</v>
      </c>
      <c r="D7" s="572" t="s">
        <v>1514</v>
      </c>
      <c r="E7" s="37">
        <v>258667</v>
      </c>
      <c r="F7" s="583" t="s">
        <v>23</v>
      </c>
      <c r="G7" s="578" t="s">
        <v>77</v>
      </c>
      <c r="H7" s="578">
        <v>1399</v>
      </c>
      <c r="I7" s="578" t="s">
        <v>25</v>
      </c>
      <c r="J7" s="288">
        <v>1</v>
      </c>
      <c r="K7" s="90" t="s">
        <v>17</v>
      </c>
      <c r="L7" s="90" t="s">
        <v>33</v>
      </c>
      <c r="M7" s="90"/>
      <c r="N7" s="90"/>
      <c r="O7" s="578"/>
    </row>
    <row r="8" spans="1:15" ht="105.75" customHeight="1">
      <c r="A8" s="19">
        <v>2</v>
      </c>
      <c r="B8" s="43"/>
      <c r="C8" s="76" t="s">
        <v>28</v>
      </c>
      <c r="D8" s="76" t="s">
        <v>29</v>
      </c>
      <c r="E8" s="37">
        <v>135000</v>
      </c>
      <c r="F8" s="19" t="s">
        <v>23</v>
      </c>
      <c r="G8" s="78" t="s">
        <v>77</v>
      </c>
      <c r="H8" s="78">
        <v>1399</v>
      </c>
      <c r="I8" s="78" t="s">
        <v>25</v>
      </c>
      <c r="J8" s="97">
        <v>1</v>
      </c>
      <c r="K8" s="22"/>
      <c r="L8" s="90" t="s">
        <v>33</v>
      </c>
      <c r="M8" s="22"/>
      <c r="N8" s="22"/>
      <c r="O8" s="38"/>
    </row>
    <row r="9" spans="1:15" ht="53.45" customHeight="1">
      <c r="A9" s="588">
        <v>3</v>
      </c>
      <c r="B9" s="43"/>
      <c r="C9" s="76" t="s">
        <v>28</v>
      </c>
      <c r="D9" s="33" t="s">
        <v>169</v>
      </c>
      <c r="E9" s="37">
        <v>7560000</v>
      </c>
      <c r="F9" s="19" t="s">
        <v>23</v>
      </c>
      <c r="G9" s="78" t="s">
        <v>77</v>
      </c>
      <c r="H9" s="78">
        <v>1399</v>
      </c>
      <c r="I9" s="78" t="s">
        <v>25</v>
      </c>
      <c r="J9" s="97">
        <v>1</v>
      </c>
      <c r="K9" s="40"/>
      <c r="L9" s="90" t="s">
        <v>33</v>
      </c>
      <c r="M9" s="22"/>
      <c r="N9" s="40"/>
      <c r="O9" s="25" t="s">
        <v>17</v>
      </c>
    </row>
    <row r="10" spans="1:15" ht="53.45" customHeight="1">
      <c r="A10" s="588">
        <v>4</v>
      </c>
      <c r="B10" s="43"/>
      <c r="C10" s="76" t="s">
        <v>116</v>
      </c>
      <c r="D10" s="33" t="s">
        <v>22</v>
      </c>
      <c r="E10" s="37">
        <v>640000</v>
      </c>
      <c r="F10" s="19" t="s">
        <v>23</v>
      </c>
      <c r="G10" s="78" t="s">
        <v>77</v>
      </c>
      <c r="H10" s="78">
        <v>1399</v>
      </c>
      <c r="I10" s="78" t="s">
        <v>25</v>
      </c>
      <c r="J10" s="97">
        <v>1</v>
      </c>
      <c r="K10" s="22"/>
      <c r="L10" s="90" t="s">
        <v>33</v>
      </c>
      <c r="M10" s="22"/>
      <c r="N10" s="22"/>
      <c r="O10" s="77"/>
    </row>
    <row r="11" spans="1:15" ht="81" customHeight="1">
      <c r="A11" s="588">
        <v>5</v>
      </c>
      <c r="B11" s="43"/>
      <c r="C11" s="76" t="s">
        <v>116</v>
      </c>
      <c r="D11" s="33" t="s">
        <v>131</v>
      </c>
      <c r="E11" s="37">
        <v>17000</v>
      </c>
      <c r="F11" s="19" t="s">
        <v>23</v>
      </c>
      <c r="G11" s="78" t="s">
        <v>77</v>
      </c>
      <c r="H11" s="78">
        <v>1399</v>
      </c>
      <c r="I11" s="78" t="s">
        <v>25</v>
      </c>
      <c r="J11" s="97">
        <v>1</v>
      </c>
      <c r="K11" s="22"/>
      <c r="L11" s="90" t="s">
        <v>33</v>
      </c>
      <c r="M11" s="22"/>
      <c r="N11" s="22"/>
      <c r="O11" s="77"/>
    </row>
    <row r="12" spans="1:15" ht="63" customHeight="1">
      <c r="A12" s="588">
        <v>6</v>
      </c>
      <c r="B12" s="43"/>
      <c r="C12" s="76" t="s">
        <v>31</v>
      </c>
      <c r="D12" s="33" t="s">
        <v>146</v>
      </c>
      <c r="E12" s="37">
        <v>1500000</v>
      </c>
      <c r="F12" s="19" t="s">
        <v>23</v>
      </c>
      <c r="G12" s="78" t="s">
        <v>77</v>
      </c>
      <c r="H12" s="78">
        <v>1399</v>
      </c>
      <c r="I12" s="78" t="s">
        <v>25</v>
      </c>
      <c r="J12" s="97" t="s">
        <v>17</v>
      </c>
      <c r="K12" s="22" t="s">
        <v>72</v>
      </c>
      <c r="L12" s="90" t="s">
        <v>17</v>
      </c>
      <c r="M12" s="22" t="s">
        <v>110</v>
      </c>
      <c r="N12" s="90" t="s">
        <v>147</v>
      </c>
      <c r="O12" s="77"/>
    </row>
    <row r="13" spans="1:15" ht="58.9" customHeight="1">
      <c r="A13" s="588">
        <v>7</v>
      </c>
      <c r="B13" s="43"/>
      <c r="C13" s="76" t="s">
        <v>31</v>
      </c>
      <c r="D13" s="33" t="s">
        <v>119</v>
      </c>
      <c r="E13" s="37">
        <v>265500</v>
      </c>
      <c r="F13" s="19" t="s">
        <v>23</v>
      </c>
      <c r="G13" s="78" t="s">
        <v>77</v>
      </c>
      <c r="H13" s="78">
        <v>1399</v>
      </c>
      <c r="I13" s="78" t="s">
        <v>25</v>
      </c>
      <c r="J13" s="97">
        <v>1</v>
      </c>
      <c r="K13" s="27"/>
      <c r="L13" s="90" t="s">
        <v>33</v>
      </c>
      <c r="M13" s="27"/>
      <c r="N13" s="90"/>
      <c r="O13" s="77"/>
    </row>
    <row r="14" spans="1:15" ht="60.6" customHeight="1">
      <c r="A14" s="588">
        <v>8</v>
      </c>
      <c r="B14" s="43"/>
      <c r="C14" s="76" t="s">
        <v>31</v>
      </c>
      <c r="D14" s="33" t="s">
        <v>120</v>
      </c>
      <c r="E14" s="37">
        <v>237677</v>
      </c>
      <c r="F14" s="19" t="s">
        <v>23</v>
      </c>
      <c r="G14" s="78" t="s">
        <v>77</v>
      </c>
      <c r="H14" s="78">
        <v>1399</v>
      </c>
      <c r="I14" s="78" t="s">
        <v>25</v>
      </c>
      <c r="J14" s="97">
        <v>1</v>
      </c>
      <c r="K14" s="27"/>
      <c r="L14" s="90" t="s">
        <v>33</v>
      </c>
      <c r="M14" s="27"/>
      <c r="N14" s="90"/>
      <c r="O14" s="77"/>
    </row>
    <row r="15" spans="1:15" ht="64.900000000000006" customHeight="1">
      <c r="A15" s="588">
        <v>9</v>
      </c>
      <c r="B15" s="43"/>
      <c r="C15" s="76" t="s">
        <v>31</v>
      </c>
      <c r="D15" s="33" t="s">
        <v>121</v>
      </c>
      <c r="E15" s="37">
        <v>169680</v>
      </c>
      <c r="F15" s="19" t="s">
        <v>23</v>
      </c>
      <c r="G15" s="78" t="s">
        <v>77</v>
      </c>
      <c r="H15" s="78">
        <v>1399</v>
      </c>
      <c r="I15" s="78" t="s">
        <v>25</v>
      </c>
      <c r="J15" s="97">
        <v>1</v>
      </c>
      <c r="K15" s="27"/>
      <c r="L15" s="90" t="s">
        <v>33</v>
      </c>
      <c r="M15" s="27"/>
      <c r="N15" s="90"/>
      <c r="O15" s="77"/>
    </row>
    <row r="16" spans="1:15" ht="60" customHeight="1">
      <c r="A16" s="588">
        <v>10</v>
      </c>
      <c r="B16" s="43"/>
      <c r="C16" s="76" t="s">
        <v>31</v>
      </c>
      <c r="D16" s="33" t="s">
        <v>122</v>
      </c>
      <c r="E16" s="37">
        <v>254000</v>
      </c>
      <c r="F16" s="19" t="s">
        <v>23</v>
      </c>
      <c r="G16" s="78" t="s">
        <v>77</v>
      </c>
      <c r="H16" s="78">
        <v>1399</v>
      </c>
      <c r="I16" s="78" t="s">
        <v>25</v>
      </c>
      <c r="J16" s="97">
        <v>1</v>
      </c>
      <c r="K16" s="27"/>
      <c r="L16" s="90" t="s">
        <v>33</v>
      </c>
      <c r="M16" s="27"/>
      <c r="N16" s="90"/>
      <c r="O16" s="77"/>
    </row>
    <row r="17" spans="1:33" ht="146.25" customHeight="1">
      <c r="A17" s="588">
        <v>11</v>
      </c>
      <c r="B17" s="61" t="s">
        <v>170</v>
      </c>
      <c r="C17" s="76" t="s">
        <v>54</v>
      </c>
      <c r="D17" s="76" t="s">
        <v>171</v>
      </c>
      <c r="E17" s="37">
        <v>4729070</v>
      </c>
      <c r="F17" s="19" t="s">
        <v>23</v>
      </c>
      <c r="G17" s="78" t="s">
        <v>77</v>
      </c>
      <c r="H17" s="78">
        <v>1399</v>
      </c>
      <c r="I17" s="78" t="s">
        <v>25</v>
      </c>
      <c r="J17" s="97">
        <v>1</v>
      </c>
      <c r="K17" s="40"/>
      <c r="L17" s="90" t="s">
        <v>33</v>
      </c>
      <c r="M17" s="40"/>
      <c r="N17" s="22"/>
      <c r="O17" s="45"/>
    </row>
    <row r="18" spans="1:33" ht="63.6" customHeight="1">
      <c r="A18" s="588">
        <v>12</v>
      </c>
      <c r="B18" s="43"/>
      <c r="C18" s="33" t="s">
        <v>40</v>
      </c>
      <c r="D18" s="32" t="s">
        <v>133</v>
      </c>
      <c r="E18" s="37">
        <v>1413600</v>
      </c>
      <c r="F18" s="19" t="s">
        <v>23</v>
      </c>
      <c r="G18" s="78" t="s">
        <v>41</v>
      </c>
      <c r="H18" s="78">
        <v>1399</v>
      </c>
      <c r="I18" s="78" t="s">
        <v>25</v>
      </c>
      <c r="J18" s="97">
        <v>1</v>
      </c>
      <c r="K18" s="27"/>
      <c r="L18" s="90" t="s">
        <v>33</v>
      </c>
      <c r="M18" s="27"/>
      <c r="N18" s="98"/>
      <c r="O18" s="825"/>
      <c r="P18" s="29"/>
    </row>
    <row r="19" spans="1:33" ht="58.9" customHeight="1">
      <c r="A19" s="588">
        <v>13</v>
      </c>
      <c r="B19" s="43"/>
      <c r="C19" s="33" t="s">
        <v>40</v>
      </c>
      <c r="D19" s="32" t="s">
        <v>158</v>
      </c>
      <c r="E19" s="37">
        <v>754416</v>
      </c>
      <c r="F19" s="19" t="s">
        <v>23</v>
      </c>
      <c r="G19" s="78" t="s">
        <v>41</v>
      </c>
      <c r="H19" s="78">
        <v>1399</v>
      </c>
      <c r="I19" s="78" t="s">
        <v>25</v>
      </c>
      <c r="J19" s="97">
        <v>1</v>
      </c>
      <c r="K19" s="27"/>
      <c r="L19" s="90" t="s">
        <v>33</v>
      </c>
      <c r="M19" s="27"/>
      <c r="N19" s="22"/>
      <c r="O19" s="825"/>
      <c r="P19" s="29"/>
    </row>
    <row r="20" spans="1:33" ht="61.15" customHeight="1">
      <c r="A20" s="588">
        <v>14</v>
      </c>
      <c r="B20" s="43"/>
      <c r="C20" s="33" t="s">
        <v>40</v>
      </c>
      <c r="D20" s="32" t="s">
        <v>172</v>
      </c>
      <c r="E20" s="37" t="s">
        <v>17</v>
      </c>
      <c r="F20" s="19" t="s">
        <v>17</v>
      </c>
      <c r="G20" s="78" t="s">
        <v>955</v>
      </c>
      <c r="H20" s="78">
        <v>1399</v>
      </c>
      <c r="I20" s="78" t="s">
        <v>25</v>
      </c>
      <c r="J20" s="97">
        <v>1</v>
      </c>
      <c r="K20" s="27"/>
      <c r="L20" s="90" t="s">
        <v>33</v>
      </c>
      <c r="M20" s="27"/>
      <c r="N20" s="99"/>
      <c r="O20" s="349" t="s">
        <v>324</v>
      </c>
      <c r="P20" s="29"/>
    </row>
    <row r="21" spans="1:33" ht="58.15" customHeight="1">
      <c r="A21" s="588">
        <v>15</v>
      </c>
      <c r="B21" s="43"/>
      <c r="C21" s="33" t="s">
        <v>40</v>
      </c>
      <c r="D21" s="32" t="s">
        <v>149</v>
      </c>
      <c r="E21" s="37">
        <v>848904</v>
      </c>
      <c r="F21" s="19" t="s">
        <v>23</v>
      </c>
      <c r="G21" s="78" t="s">
        <v>41</v>
      </c>
      <c r="H21" s="78">
        <v>1399</v>
      </c>
      <c r="I21" s="78" t="s">
        <v>25</v>
      </c>
      <c r="J21" s="97">
        <v>1</v>
      </c>
      <c r="K21" s="27" t="s">
        <v>17</v>
      </c>
      <c r="L21" s="90" t="s">
        <v>33</v>
      </c>
      <c r="M21" s="22" t="s">
        <v>17</v>
      </c>
      <c r="N21" s="98"/>
      <c r="O21" s="75"/>
      <c r="P21" s="29"/>
    </row>
    <row r="22" spans="1:33" ht="88.9" customHeight="1">
      <c r="A22" s="588">
        <v>16</v>
      </c>
      <c r="B22" s="43"/>
      <c r="C22" s="33" t="s">
        <v>40</v>
      </c>
      <c r="D22" s="360" t="s">
        <v>44</v>
      </c>
      <c r="E22" s="184">
        <v>818400</v>
      </c>
      <c r="F22" s="19" t="s">
        <v>23</v>
      </c>
      <c r="G22" s="78" t="s">
        <v>41</v>
      </c>
      <c r="H22" s="78">
        <v>1399</v>
      </c>
      <c r="I22" s="78" t="s">
        <v>25</v>
      </c>
      <c r="J22" s="97">
        <v>1</v>
      </c>
      <c r="K22" s="27" t="s">
        <v>947</v>
      </c>
      <c r="L22" s="90" t="s">
        <v>33</v>
      </c>
      <c r="M22" s="22" t="s">
        <v>325</v>
      </c>
      <c r="N22" s="22" t="s">
        <v>965</v>
      </c>
      <c r="O22" s="825"/>
      <c r="P22" s="29"/>
    </row>
    <row r="23" spans="1:33" ht="92.45" customHeight="1">
      <c r="A23" s="588">
        <v>17</v>
      </c>
      <c r="B23" s="43"/>
      <c r="C23" s="33" t="s">
        <v>40</v>
      </c>
      <c r="D23" s="360" t="s">
        <v>134</v>
      </c>
      <c r="E23" s="184">
        <v>411804</v>
      </c>
      <c r="F23" s="19" t="s">
        <v>23</v>
      </c>
      <c r="G23" s="78" t="s">
        <v>41</v>
      </c>
      <c r="H23" s="78">
        <v>1399</v>
      </c>
      <c r="I23" s="78" t="s">
        <v>25</v>
      </c>
      <c r="J23" s="97">
        <v>1</v>
      </c>
      <c r="K23" s="27" t="s">
        <v>947</v>
      </c>
      <c r="L23" s="90" t="s">
        <v>33</v>
      </c>
      <c r="M23" s="22" t="s">
        <v>325</v>
      </c>
      <c r="N23" s="22" t="s">
        <v>965</v>
      </c>
      <c r="O23" s="825"/>
      <c r="P23" s="29"/>
    </row>
    <row r="24" spans="1:33" ht="88.15" customHeight="1">
      <c r="A24" s="588">
        <v>18</v>
      </c>
      <c r="B24" s="43"/>
      <c r="C24" s="33" t="s">
        <v>40</v>
      </c>
      <c r="D24" s="32" t="s">
        <v>173</v>
      </c>
      <c r="E24" s="184">
        <v>6696000</v>
      </c>
      <c r="F24" s="19" t="s">
        <v>23</v>
      </c>
      <c r="G24" s="78" t="s">
        <v>41</v>
      </c>
      <c r="H24" s="78">
        <v>1399</v>
      </c>
      <c r="I24" s="78" t="s">
        <v>25</v>
      </c>
      <c r="J24" s="97">
        <v>1</v>
      </c>
      <c r="K24" s="27" t="s">
        <v>947</v>
      </c>
      <c r="L24" s="90" t="s">
        <v>33</v>
      </c>
      <c r="M24" s="22" t="s">
        <v>325</v>
      </c>
      <c r="N24" s="22" t="s">
        <v>965</v>
      </c>
      <c r="O24" s="825"/>
      <c r="P24" s="29"/>
    </row>
    <row r="25" spans="1:33" ht="64.900000000000006" customHeight="1">
      <c r="A25" s="588">
        <v>19</v>
      </c>
      <c r="B25" s="43"/>
      <c r="C25" s="33" t="s">
        <v>40</v>
      </c>
      <c r="D25" s="32" t="s">
        <v>174</v>
      </c>
      <c r="E25" s="37">
        <v>53280</v>
      </c>
      <c r="F25" s="19" t="s">
        <v>23</v>
      </c>
      <c r="G25" s="78" t="s">
        <v>41</v>
      </c>
      <c r="H25" s="78">
        <v>1399</v>
      </c>
      <c r="I25" s="78" t="s">
        <v>25</v>
      </c>
      <c r="J25" s="97">
        <v>1</v>
      </c>
      <c r="K25" s="27"/>
      <c r="L25" s="90" t="s">
        <v>33</v>
      </c>
      <c r="M25" s="27"/>
      <c r="N25" s="22"/>
      <c r="O25" s="77"/>
      <c r="P25" s="29"/>
    </row>
    <row r="26" spans="1:33" ht="64.900000000000006" customHeight="1">
      <c r="A26" s="588">
        <v>20</v>
      </c>
      <c r="B26" s="43"/>
      <c r="C26" s="33" t="s">
        <v>40</v>
      </c>
      <c r="D26" s="32" t="s">
        <v>86</v>
      </c>
      <c r="E26" s="184">
        <v>750000</v>
      </c>
      <c r="F26" s="356" t="s">
        <v>23</v>
      </c>
      <c r="G26" s="351" t="s">
        <v>41</v>
      </c>
      <c r="H26" s="78">
        <v>1399</v>
      </c>
      <c r="I26" s="78" t="s">
        <v>25</v>
      </c>
      <c r="J26" s="97">
        <v>1</v>
      </c>
      <c r="K26" s="27" t="s">
        <v>947</v>
      </c>
      <c r="L26" s="90" t="s">
        <v>33</v>
      </c>
      <c r="M26" s="22" t="s">
        <v>325</v>
      </c>
      <c r="N26" s="22" t="s">
        <v>965</v>
      </c>
      <c r="O26" s="77"/>
      <c r="P26" s="29"/>
    </row>
    <row r="27" spans="1:33" ht="61.15" customHeight="1">
      <c r="A27" s="588">
        <v>21</v>
      </c>
      <c r="B27" s="43"/>
      <c r="C27" s="33" t="s">
        <v>40</v>
      </c>
      <c r="D27" s="32" t="s">
        <v>175</v>
      </c>
      <c r="E27" s="37">
        <v>178560</v>
      </c>
      <c r="F27" s="19" t="s">
        <v>23</v>
      </c>
      <c r="G27" s="78" t="s">
        <v>41</v>
      </c>
      <c r="H27" s="78">
        <v>1399</v>
      </c>
      <c r="I27" s="78" t="s">
        <v>25</v>
      </c>
      <c r="J27" s="97">
        <v>1</v>
      </c>
      <c r="K27" s="27"/>
      <c r="L27" s="90" t="s">
        <v>33</v>
      </c>
      <c r="M27" s="27"/>
      <c r="N27" s="22"/>
      <c r="O27" s="825"/>
      <c r="P27" s="29"/>
    </row>
    <row r="28" spans="1:33" ht="58.9" customHeight="1">
      <c r="A28" s="588">
        <v>22</v>
      </c>
      <c r="B28" s="43"/>
      <c r="C28" s="33" t="s">
        <v>40</v>
      </c>
      <c r="D28" s="32" t="s">
        <v>87</v>
      </c>
      <c r="E28" s="37">
        <v>182250</v>
      </c>
      <c r="F28" s="19" t="s">
        <v>23</v>
      </c>
      <c r="G28" s="78" t="s">
        <v>41</v>
      </c>
      <c r="H28" s="78">
        <v>1399</v>
      </c>
      <c r="I28" s="78" t="s">
        <v>25</v>
      </c>
      <c r="J28" s="97">
        <v>1</v>
      </c>
      <c r="K28" s="27"/>
      <c r="L28" s="90" t="s">
        <v>33</v>
      </c>
      <c r="M28" s="27"/>
      <c r="N28" s="22"/>
      <c r="O28" s="825"/>
      <c r="P28" s="29"/>
    </row>
    <row r="29" spans="1:33" ht="65.45" customHeight="1">
      <c r="A29" s="588">
        <v>23</v>
      </c>
      <c r="B29" s="43"/>
      <c r="C29" s="33" t="s">
        <v>40</v>
      </c>
      <c r="D29" s="32" t="s">
        <v>176</v>
      </c>
      <c r="E29" s="37">
        <v>89280</v>
      </c>
      <c r="F29" s="19" t="s">
        <v>23</v>
      </c>
      <c r="G29" s="78" t="s">
        <v>41</v>
      </c>
      <c r="H29" s="78">
        <v>1399</v>
      </c>
      <c r="I29" s="78" t="s">
        <v>25</v>
      </c>
      <c r="J29" s="97">
        <v>1</v>
      </c>
      <c r="K29" s="27"/>
      <c r="L29" s="90" t="s">
        <v>33</v>
      </c>
      <c r="M29" s="27"/>
      <c r="N29" s="22"/>
      <c r="O29" s="825"/>
      <c r="P29" s="29"/>
      <c r="V29" s="806"/>
      <c r="W29" s="806"/>
      <c r="X29" s="806"/>
      <c r="Y29" s="806"/>
      <c r="Z29" s="806"/>
      <c r="AA29" s="806"/>
      <c r="AB29" s="806"/>
      <c r="AC29" s="806"/>
      <c r="AD29" s="806"/>
      <c r="AE29" s="806"/>
      <c r="AF29" s="806"/>
      <c r="AG29" s="806"/>
    </row>
    <row r="30" spans="1:33" ht="63.6" customHeight="1">
      <c r="A30" s="588">
        <v>24</v>
      </c>
      <c r="B30" s="43"/>
      <c r="C30" s="33" t="s">
        <v>40</v>
      </c>
      <c r="D30" s="32" t="s">
        <v>89</v>
      </c>
      <c r="E30" s="37">
        <v>524710</v>
      </c>
      <c r="F30" s="19" t="s">
        <v>23</v>
      </c>
      <c r="G30" s="78" t="s">
        <v>41</v>
      </c>
      <c r="H30" s="78">
        <v>1399</v>
      </c>
      <c r="I30" s="78" t="s">
        <v>25</v>
      </c>
      <c r="J30" s="97">
        <v>1</v>
      </c>
      <c r="K30" s="27"/>
      <c r="L30" s="90" t="s">
        <v>33</v>
      </c>
      <c r="M30" s="27"/>
      <c r="N30" s="22"/>
      <c r="O30" s="825"/>
      <c r="P30" s="29"/>
    </row>
    <row r="31" spans="1:33" ht="63.6" customHeight="1">
      <c r="A31" s="588">
        <v>25</v>
      </c>
      <c r="B31" s="43"/>
      <c r="C31" s="33" t="s">
        <v>40</v>
      </c>
      <c r="D31" s="32" t="s">
        <v>177</v>
      </c>
      <c r="E31" s="37">
        <v>151800</v>
      </c>
      <c r="F31" s="19" t="s">
        <v>23</v>
      </c>
      <c r="G31" s="78" t="s">
        <v>41</v>
      </c>
      <c r="H31" s="78">
        <v>1399</v>
      </c>
      <c r="I31" s="78" t="s">
        <v>25</v>
      </c>
      <c r="J31" s="97">
        <v>1</v>
      </c>
      <c r="K31" s="27"/>
      <c r="L31" s="90" t="s">
        <v>33</v>
      </c>
      <c r="M31" s="27"/>
      <c r="N31" s="22"/>
      <c r="O31" s="77"/>
      <c r="P31" s="29"/>
    </row>
    <row r="32" spans="1:33" ht="67.150000000000006" customHeight="1">
      <c r="A32" s="588">
        <v>26</v>
      </c>
      <c r="B32" s="43"/>
      <c r="C32" s="33" t="s">
        <v>40</v>
      </c>
      <c r="D32" s="32" t="s">
        <v>178</v>
      </c>
      <c r="E32" s="37">
        <v>85028</v>
      </c>
      <c r="F32" s="19" t="s">
        <v>23</v>
      </c>
      <c r="G32" s="78" t="s">
        <v>41</v>
      </c>
      <c r="H32" s="78">
        <v>1399</v>
      </c>
      <c r="I32" s="78" t="s">
        <v>25</v>
      </c>
      <c r="J32" s="97">
        <v>1</v>
      </c>
      <c r="K32" s="27"/>
      <c r="L32" s="90" t="s">
        <v>33</v>
      </c>
      <c r="M32" s="27"/>
      <c r="N32" s="22"/>
      <c r="O32" s="825"/>
      <c r="P32" s="29"/>
    </row>
    <row r="33" spans="1:16" ht="80.45" customHeight="1">
      <c r="A33" s="588">
        <v>27</v>
      </c>
      <c r="B33" s="43"/>
      <c r="C33" s="33" t="s">
        <v>40</v>
      </c>
      <c r="D33" s="33" t="s">
        <v>152</v>
      </c>
      <c r="E33" s="184">
        <v>52050</v>
      </c>
      <c r="F33" s="356" t="s">
        <v>23</v>
      </c>
      <c r="G33" s="351" t="s">
        <v>41</v>
      </c>
      <c r="H33" s="351">
        <v>1399</v>
      </c>
      <c r="I33" s="351" t="s">
        <v>25</v>
      </c>
      <c r="J33" s="97">
        <v>1</v>
      </c>
      <c r="K33" s="27" t="s">
        <v>947</v>
      </c>
      <c r="L33" s="90" t="s">
        <v>33</v>
      </c>
      <c r="M33" s="22" t="s">
        <v>325</v>
      </c>
      <c r="N33" s="22" t="s">
        <v>965</v>
      </c>
      <c r="O33" s="825"/>
      <c r="P33" s="29"/>
    </row>
    <row r="34" spans="1:16" ht="66.599999999999994" customHeight="1">
      <c r="A34" s="588">
        <v>28</v>
      </c>
      <c r="B34" s="43"/>
      <c r="C34" s="33" t="s">
        <v>40</v>
      </c>
      <c r="D34" s="33" t="s">
        <v>153</v>
      </c>
      <c r="E34" s="37">
        <v>72900</v>
      </c>
      <c r="F34" s="356" t="s">
        <v>23</v>
      </c>
      <c r="G34" s="351" t="s">
        <v>41</v>
      </c>
      <c r="H34" s="351">
        <v>1399</v>
      </c>
      <c r="I34" s="351" t="s">
        <v>25</v>
      </c>
      <c r="J34" s="97">
        <v>1</v>
      </c>
      <c r="K34" s="27"/>
      <c r="L34" s="90" t="s">
        <v>33</v>
      </c>
      <c r="M34" s="27"/>
      <c r="N34" s="22"/>
      <c r="O34" s="825"/>
      <c r="P34" s="29"/>
    </row>
    <row r="35" spans="1:16" ht="62.45" customHeight="1">
      <c r="A35" s="588">
        <v>29</v>
      </c>
      <c r="B35" s="43"/>
      <c r="C35" s="33" t="s">
        <v>40</v>
      </c>
      <c r="D35" s="164" t="s">
        <v>966</v>
      </c>
      <c r="E35" s="37">
        <f>250*2617</f>
        <v>654250</v>
      </c>
      <c r="F35" s="442" t="s">
        <v>23</v>
      </c>
      <c r="G35" s="351" t="s">
        <v>41</v>
      </c>
      <c r="H35" s="351">
        <v>1399</v>
      </c>
      <c r="I35" s="351" t="s">
        <v>25</v>
      </c>
      <c r="J35" s="97">
        <v>1</v>
      </c>
      <c r="K35" s="27"/>
      <c r="L35" s="90" t="s">
        <v>33</v>
      </c>
      <c r="M35" s="27"/>
      <c r="N35" s="22"/>
      <c r="O35" s="825"/>
      <c r="P35" s="29"/>
    </row>
    <row r="36" spans="1:16" ht="57" customHeight="1">
      <c r="A36" s="588">
        <v>30</v>
      </c>
      <c r="B36" s="43"/>
      <c r="C36" s="33" t="s">
        <v>40</v>
      </c>
      <c r="D36" s="32" t="s">
        <v>155</v>
      </c>
      <c r="E36" s="37">
        <v>126000</v>
      </c>
      <c r="F36" s="19" t="s">
        <v>23</v>
      </c>
      <c r="G36" s="78" t="s">
        <v>41</v>
      </c>
      <c r="H36" s="78">
        <v>1399</v>
      </c>
      <c r="I36" s="78" t="s">
        <v>25</v>
      </c>
      <c r="J36" s="97">
        <v>1</v>
      </c>
      <c r="K36" s="27" t="s">
        <v>17</v>
      </c>
      <c r="L36" s="90" t="s">
        <v>33</v>
      </c>
      <c r="M36" s="27"/>
      <c r="N36" s="22"/>
      <c r="O36" s="825"/>
      <c r="P36" s="29"/>
    </row>
    <row r="37" spans="1:16" ht="82.9" customHeight="1">
      <c r="A37" s="588">
        <v>31</v>
      </c>
      <c r="B37" s="43"/>
      <c r="C37" s="33" t="s">
        <v>40</v>
      </c>
      <c r="D37" s="32" t="s">
        <v>180</v>
      </c>
      <c r="E37" s="184">
        <v>1674000</v>
      </c>
      <c r="F37" s="356" t="s">
        <v>23</v>
      </c>
      <c r="G37" s="78" t="s">
        <v>41</v>
      </c>
      <c r="H37" s="78">
        <v>1399</v>
      </c>
      <c r="I37" s="78" t="s">
        <v>25</v>
      </c>
      <c r="J37" s="97">
        <v>1</v>
      </c>
      <c r="K37" s="97" t="s">
        <v>947</v>
      </c>
      <c r="L37" s="90" t="s">
        <v>33</v>
      </c>
      <c r="M37" s="22" t="s">
        <v>325</v>
      </c>
      <c r="N37" s="22" t="s">
        <v>965</v>
      </c>
      <c r="O37" s="77"/>
      <c r="P37" s="29"/>
    </row>
    <row r="38" spans="1:16" ht="82.9" customHeight="1">
      <c r="A38" s="588">
        <v>32</v>
      </c>
      <c r="B38" s="43"/>
      <c r="C38" s="33" t="s">
        <v>40</v>
      </c>
      <c r="D38" s="32" t="s">
        <v>181</v>
      </c>
      <c r="E38" s="184">
        <v>52080</v>
      </c>
      <c r="F38" s="356" t="s">
        <v>23</v>
      </c>
      <c r="G38" s="78" t="s">
        <v>41</v>
      </c>
      <c r="H38" s="78">
        <v>1399</v>
      </c>
      <c r="I38" s="78" t="s">
        <v>25</v>
      </c>
      <c r="J38" s="97">
        <v>1</v>
      </c>
      <c r="K38" s="97" t="s">
        <v>947</v>
      </c>
      <c r="L38" s="90" t="s">
        <v>33</v>
      </c>
      <c r="M38" s="22" t="s">
        <v>325</v>
      </c>
      <c r="N38" s="22" t="s">
        <v>965</v>
      </c>
      <c r="O38" s="77"/>
      <c r="P38" s="29"/>
    </row>
    <row r="39" spans="1:16" ht="65.45" customHeight="1">
      <c r="A39" s="588">
        <v>33</v>
      </c>
      <c r="B39" s="43"/>
      <c r="C39" s="33" t="s">
        <v>40</v>
      </c>
      <c r="D39" s="32" t="s">
        <v>96</v>
      </c>
      <c r="E39" s="184">
        <v>2695000</v>
      </c>
      <c r="F39" s="356" t="s">
        <v>23</v>
      </c>
      <c r="G39" s="78" t="s">
        <v>41</v>
      </c>
      <c r="H39" s="78">
        <v>1399</v>
      </c>
      <c r="I39" s="78" t="s">
        <v>25</v>
      </c>
      <c r="J39" s="97">
        <v>1</v>
      </c>
      <c r="K39" s="97" t="s">
        <v>947</v>
      </c>
      <c r="L39" s="90" t="s">
        <v>33</v>
      </c>
      <c r="M39" s="22" t="s">
        <v>325</v>
      </c>
      <c r="N39" s="22" t="s">
        <v>965</v>
      </c>
      <c r="O39" s="77"/>
      <c r="P39" s="29"/>
    </row>
    <row r="40" spans="1:16" ht="72">
      <c r="A40" s="588">
        <v>34</v>
      </c>
      <c r="B40" s="43"/>
      <c r="C40" s="40" t="s">
        <v>76</v>
      </c>
      <c r="D40" s="40" t="s">
        <v>182</v>
      </c>
      <c r="E40" s="35">
        <v>31745997</v>
      </c>
      <c r="F40" s="19" t="s">
        <v>23</v>
      </c>
      <c r="G40" s="33" t="s">
        <v>77</v>
      </c>
      <c r="H40" s="19">
        <v>1399</v>
      </c>
      <c r="I40" s="22" t="s">
        <v>25</v>
      </c>
      <c r="J40" s="60">
        <v>1</v>
      </c>
      <c r="K40" s="33"/>
      <c r="L40" s="90" t="s">
        <v>33</v>
      </c>
      <c r="M40" s="22"/>
      <c r="N40" s="22"/>
      <c r="O40" s="33"/>
    </row>
    <row r="41" spans="1:16" s="461" customFormat="1" ht="73.150000000000006" customHeight="1">
      <c r="A41" s="588">
        <v>35</v>
      </c>
      <c r="B41" s="473" t="s">
        <v>1002</v>
      </c>
      <c r="C41" s="474" t="s">
        <v>111</v>
      </c>
      <c r="D41" s="32" t="s">
        <v>1003</v>
      </c>
      <c r="E41" s="37">
        <v>100000</v>
      </c>
      <c r="F41" s="467" t="s">
        <v>23</v>
      </c>
      <c r="G41" s="351" t="s">
        <v>77</v>
      </c>
      <c r="H41" s="351">
        <v>1399</v>
      </c>
      <c r="I41" s="351" t="s">
        <v>25</v>
      </c>
      <c r="J41" s="97">
        <v>1</v>
      </c>
      <c r="K41" s="22"/>
      <c r="L41" s="90" t="s">
        <v>33</v>
      </c>
      <c r="M41" s="22"/>
      <c r="N41" s="22"/>
      <c r="O41" s="46"/>
      <c r="P41" s="29"/>
    </row>
    <row r="42" spans="1:16" s="461" customFormat="1" ht="72">
      <c r="A42" s="588">
        <v>36</v>
      </c>
      <c r="B42" s="354" t="s">
        <v>1004</v>
      </c>
      <c r="C42" s="32" t="s">
        <v>111</v>
      </c>
      <c r="D42" s="32" t="s">
        <v>1005</v>
      </c>
      <c r="E42" s="37">
        <v>160000</v>
      </c>
      <c r="F42" s="467" t="s">
        <v>23</v>
      </c>
      <c r="G42" s="351" t="s">
        <v>77</v>
      </c>
      <c r="H42" s="351">
        <v>1399</v>
      </c>
      <c r="I42" s="351" t="s">
        <v>25</v>
      </c>
      <c r="J42" s="288">
        <v>1</v>
      </c>
      <c r="K42" s="22"/>
      <c r="L42" s="90" t="s">
        <v>33</v>
      </c>
      <c r="M42" s="22"/>
      <c r="N42" s="22"/>
      <c r="O42" s="46"/>
      <c r="P42" s="29"/>
    </row>
    <row r="43" spans="1:16" s="552" customFormat="1" ht="61.5" customHeight="1">
      <c r="A43" s="588">
        <v>37</v>
      </c>
      <c r="B43" s="43" t="s">
        <v>20</v>
      </c>
      <c r="C43" s="33" t="s">
        <v>130</v>
      </c>
      <c r="D43" s="33" t="s">
        <v>142</v>
      </c>
      <c r="E43" s="37">
        <v>1282840</v>
      </c>
      <c r="F43" s="639" t="s">
        <v>23</v>
      </c>
      <c r="G43" s="354" t="s">
        <v>77</v>
      </c>
      <c r="H43" s="354">
        <v>1399</v>
      </c>
      <c r="I43" s="640" t="s">
        <v>25</v>
      </c>
      <c r="J43" s="288" t="s">
        <v>17</v>
      </c>
      <c r="K43" s="288" t="s">
        <v>3</v>
      </c>
      <c r="L43" s="641"/>
      <c r="M43" s="641" t="s">
        <v>581</v>
      </c>
      <c r="N43" s="598" t="s">
        <v>1831</v>
      </c>
      <c r="O43" s="598"/>
    </row>
  </sheetData>
  <mergeCells count="20">
    <mergeCell ref="O32:O34"/>
    <mergeCell ref="O35:O36"/>
    <mergeCell ref="O22:O24"/>
    <mergeCell ref="O27:O28"/>
    <mergeCell ref="O29:O30"/>
    <mergeCell ref="V29:AG29"/>
    <mergeCell ref="A1:O4"/>
    <mergeCell ref="E5:G5"/>
    <mergeCell ref="H5:H6"/>
    <mergeCell ref="I5:I6"/>
    <mergeCell ref="J5:J6"/>
    <mergeCell ref="K5:L5"/>
    <mergeCell ref="A5:A6"/>
    <mergeCell ref="B5:B6"/>
    <mergeCell ref="C5:C6"/>
    <mergeCell ref="D5:D6"/>
    <mergeCell ref="O5:O6"/>
    <mergeCell ref="M5:M6"/>
    <mergeCell ref="N5:N6"/>
    <mergeCell ref="O18:O19"/>
  </mergeCells>
  <printOptions horizontalCentered="1"/>
  <pageMargins left="0.2" right="0.2" top="0.5" bottom="0.5" header="0.3" footer="0.3"/>
  <pageSetup paperSize="9" scale="62" orientation="landscape" r:id="rId1"/>
  <headerFooter>
    <oddFooter>&amp;C&amp;P</oddFooter>
  </headerFooter>
  <rowBreaks count="2" manualBreakCount="2">
    <brk id="15" max="14" man="1"/>
    <brk id="26" max="14" man="1"/>
  </rowBreaks>
</worksheet>
</file>

<file path=xl/worksheets/sheet8.xml><?xml version="1.0" encoding="utf-8"?>
<worksheet xmlns="http://schemas.openxmlformats.org/spreadsheetml/2006/main" xmlns:r="http://schemas.openxmlformats.org/officeDocument/2006/relationships">
  <sheetPr>
    <tabColor rgb="FF92D050"/>
  </sheetPr>
  <dimension ref="A1:AI51"/>
  <sheetViews>
    <sheetView rightToLeft="1" zoomScale="87" zoomScaleNormal="87" zoomScaleSheetLayoutView="69" workbookViewId="0">
      <pane xSplit="1" ySplit="5" topLeftCell="B47" activePane="bottomRight" state="frozen"/>
      <selection pane="topRight" activeCell="B1" sqref="B1"/>
      <selection pane="bottomLeft" activeCell="A4" sqref="A4"/>
      <selection pane="bottomRight" activeCell="J50" sqref="J50"/>
    </sheetView>
  </sheetViews>
  <sheetFormatPr defaultColWidth="9.140625" defaultRowHeight="15"/>
  <cols>
    <col min="1" max="1" width="7" style="1" customWidth="1"/>
    <col min="2" max="2" width="13" style="7" customWidth="1"/>
    <col min="3" max="3" width="7.7109375" style="7" customWidth="1"/>
    <col min="4" max="4" width="18.5703125" style="7" customWidth="1"/>
    <col min="5" max="5" width="30.7109375" style="7" customWidth="1"/>
    <col min="6" max="6" width="20" style="2" customWidth="1"/>
    <col min="7" max="7" width="8.42578125" style="2" customWidth="1"/>
    <col min="8" max="8" width="12.5703125" style="2" customWidth="1"/>
    <col min="9" max="9" width="10.7109375" style="1" customWidth="1"/>
    <col min="10" max="10" width="15.140625" style="1" customWidth="1"/>
    <col min="11" max="11" width="12.42578125" style="1" customWidth="1"/>
    <col min="12" max="12" width="11.85546875" style="11" customWidth="1"/>
    <col min="13" max="13" width="15.7109375" style="11" customWidth="1"/>
    <col min="14" max="14" width="22" style="11" customWidth="1"/>
    <col min="15" max="15" width="16.5703125" style="11" customWidth="1"/>
    <col min="16" max="16" width="15.42578125" style="4" customWidth="1"/>
    <col min="17" max="16384" width="9.140625" style="4"/>
  </cols>
  <sheetData>
    <row r="1" spans="1:16" ht="33" customHeight="1">
      <c r="A1" s="826" t="s">
        <v>1879</v>
      </c>
      <c r="B1" s="827"/>
      <c r="C1" s="827"/>
      <c r="D1" s="827"/>
      <c r="E1" s="827"/>
      <c r="F1" s="827"/>
      <c r="G1" s="827"/>
      <c r="H1" s="827"/>
      <c r="I1" s="827"/>
      <c r="J1" s="827"/>
      <c r="K1" s="827"/>
      <c r="L1" s="827"/>
      <c r="M1" s="827"/>
      <c r="N1" s="827"/>
      <c r="O1" s="827"/>
      <c r="P1" s="827"/>
    </row>
    <row r="2" spans="1:16" ht="33" customHeight="1">
      <c r="A2" s="827"/>
      <c r="B2" s="827"/>
      <c r="C2" s="827"/>
      <c r="D2" s="827"/>
      <c r="E2" s="827"/>
      <c r="F2" s="827"/>
      <c r="G2" s="827"/>
      <c r="H2" s="827"/>
      <c r="I2" s="827"/>
      <c r="J2" s="827"/>
      <c r="K2" s="827"/>
      <c r="L2" s="827"/>
      <c r="M2" s="827"/>
      <c r="N2" s="827"/>
      <c r="O2" s="827"/>
      <c r="P2" s="827"/>
    </row>
    <row r="3" spans="1:16">
      <c r="A3" s="828"/>
      <c r="B3" s="828"/>
      <c r="C3" s="828"/>
      <c r="D3" s="828"/>
      <c r="E3" s="828"/>
      <c r="F3" s="828"/>
      <c r="G3" s="828"/>
      <c r="H3" s="828"/>
      <c r="I3" s="828"/>
      <c r="J3" s="828"/>
      <c r="K3" s="828"/>
      <c r="L3" s="828"/>
      <c r="M3" s="828"/>
      <c r="N3" s="828"/>
      <c r="O3" s="828"/>
      <c r="P3" s="828"/>
    </row>
    <row r="4" spans="1:16" ht="26.45" customHeight="1">
      <c r="A4" s="792" t="s">
        <v>0</v>
      </c>
      <c r="B4" s="829" t="s">
        <v>14</v>
      </c>
      <c r="C4" s="829" t="s">
        <v>19</v>
      </c>
      <c r="D4" s="829" t="s">
        <v>1</v>
      </c>
      <c r="E4" s="829" t="s">
        <v>15</v>
      </c>
      <c r="F4" s="792" t="s">
        <v>9</v>
      </c>
      <c r="G4" s="792"/>
      <c r="H4" s="792"/>
      <c r="I4" s="792" t="s">
        <v>7</v>
      </c>
      <c r="J4" s="792" t="s">
        <v>6</v>
      </c>
      <c r="K4" s="792" t="s">
        <v>16</v>
      </c>
      <c r="L4" s="829" t="s">
        <v>2</v>
      </c>
      <c r="M4" s="829"/>
      <c r="N4" s="829" t="s">
        <v>5</v>
      </c>
      <c r="O4" s="829" t="s">
        <v>13</v>
      </c>
      <c r="P4" s="792" t="s">
        <v>8</v>
      </c>
    </row>
    <row r="5" spans="1:16" ht="39.6" customHeight="1">
      <c r="A5" s="792"/>
      <c r="B5" s="829"/>
      <c r="C5" s="829"/>
      <c r="D5" s="829"/>
      <c r="E5" s="829"/>
      <c r="F5" s="72" t="s">
        <v>10</v>
      </c>
      <c r="G5" s="72" t="s">
        <v>11</v>
      </c>
      <c r="H5" s="72" t="s">
        <v>12</v>
      </c>
      <c r="I5" s="792"/>
      <c r="J5" s="792"/>
      <c r="K5" s="792"/>
      <c r="L5" s="73" t="s">
        <v>3</v>
      </c>
      <c r="M5" s="73" t="s">
        <v>4</v>
      </c>
      <c r="N5" s="829"/>
      <c r="O5" s="829"/>
      <c r="P5" s="792"/>
    </row>
    <row r="6" spans="1:16" s="5" customFormat="1" ht="53.45" customHeight="1">
      <c r="A6" s="354">
        <v>1</v>
      </c>
      <c r="B6" s="43" t="s">
        <v>189</v>
      </c>
      <c r="C6" s="43" t="s">
        <v>1513</v>
      </c>
      <c r="D6" s="582" t="s">
        <v>320</v>
      </c>
      <c r="E6" s="572" t="s">
        <v>1515</v>
      </c>
      <c r="F6" s="47">
        <v>429333.33333333331</v>
      </c>
      <c r="G6" s="578" t="s">
        <v>23</v>
      </c>
      <c r="H6" s="578" t="s">
        <v>77</v>
      </c>
      <c r="I6" s="578">
        <v>1399</v>
      </c>
      <c r="J6" s="578" t="s">
        <v>25</v>
      </c>
      <c r="K6" s="48">
        <v>1</v>
      </c>
      <c r="L6" s="483"/>
      <c r="M6" s="32" t="s">
        <v>33</v>
      </c>
      <c r="N6" s="592"/>
      <c r="O6" s="592"/>
      <c r="P6" s="480"/>
    </row>
    <row r="7" spans="1:16" s="574" customFormat="1" ht="36">
      <c r="A7" s="354">
        <v>2</v>
      </c>
      <c r="B7" s="32" t="s">
        <v>189</v>
      </c>
      <c r="C7" s="32" t="s">
        <v>1516</v>
      </c>
      <c r="D7" s="43" t="s">
        <v>1517</v>
      </c>
      <c r="E7" s="33" t="s">
        <v>1518</v>
      </c>
      <c r="F7" s="47">
        <v>3899257</v>
      </c>
      <c r="G7" s="578" t="s">
        <v>23</v>
      </c>
      <c r="H7" s="578" t="s">
        <v>77</v>
      </c>
      <c r="I7" s="578">
        <v>1399</v>
      </c>
      <c r="J7" s="578" t="s">
        <v>25</v>
      </c>
      <c r="K7" s="48">
        <v>1</v>
      </c>
      <c r="L7" s="33"/>
      <c r="M7" s="32" t="s">
        <v>33</v>
      </c>
      <c r="N7" s="33"/>
      <c r="O7" s="33"/>
      <c r="P7" s="480"/>
    </row>
    <row r="8" spans="1:16" ht="60" customHeight="1">
      <c r="A8" s="354">
        <v>3</v>
      </c>
      <c r="B8" s="43" t="s">
        <v>189</v>
      </c>
      <c r="C8" s="43"/>
      <c r="D8" s="57" t="s">
        <v>28</v>
      </c>
      <c r="E8" s="76" t="s">
        <v>114</v>
      </c>
      <c r="F8" s="47">
        <v>180000</v>
      </c>
      <c r="G8" s="78" t="s">
        <v>23</v>
      </c>
      <c r="H8" s="78" t="s">
        <v>77</v>
      </c>
      <c r="I8" s="78">
        <v>1399</v>
      </c>
      <c r="J8" s="78" t="s">
        <v>25</v>
      </c>
      <c r="K8" s="48">
        <v>1</v>
      </c>
      <c r="L8" s="33"/>
      <c r="M8" s="32" t="s">
        <v>33</v>
      </c>
      <c r="N8" s="33"/>
      <c r="O8" s="33"/>
      <c r="P8" s="38"/>
    </row>
    <row r="9" spans="1:16" ht="67.150000000000006" customHeight="1">
      <c r="A9" s="354">
        <v>4</v>
      </c>
      <c r="B9" s="43" t="s">
        <v>189</v>
      </c>
      <c r="C9" s="43"/>
      <c r="D9" s="57" t="s">
        <v>116</v>
      </c>
      <c r="E9" s="33" t="s">
        <v>190</v>
      </c>
      <c r="F9" s="47">
        <v>21000000</v>
      </c>
      <c r="G9" s="78" t="s">
        <v>23</v>
      </c>
      <c r="H9" s="78" t="s">
        <v>77</v>
      </c>
      <c r="I9" s="78">
        <v>1399</v>
      </c>
      <c r="J9" s="78" t="s">
        <v>25</v>
      </c>
      <c r="K9" s="48">
        <v>1</v>
      </c>
      <c r="L9" s="40"/>
      <c r="M9" s="32" t="s">
        <v>33</v>
      </c>
      <c r="N9" s="22"/>
      <c r="O9" s="40"/>
      <c r="P9" s="25" t="s">
        <v>17</v>
      </c>
    </row>
    <row r="10" spans="1:16" ht="45" customHeight="1">
      <c r="A10" s="354">
        <v>5</v>
      </c>
      <c r="B10" s="43" t="s">
        <v>189</v>
      </c>
      <c r="C10" s="43"/>
      <c r="D10" s="57" t="s">
        <v>116</v>
      </c>
      <c r="E10" s="33" t="s">
        <v>117</v>
      </c>
      <c r="F10" s="47">
        <v>1280000</v>
      </c>
      <c r="G10" s="78" t="s">
        <v>23</v>
      </c>
      <c r="H10" s="78" t="s">
        <v>77</v>
      </c>
      <c r="I10" s="78">
        <v>1399</v>
      </c>
      <c r="J10" s="78" t="s">
        <v>25</v>
      </c>
      <c r="K10" s="48">
        <v>1</v>
      </c>
      <c r="L10" s="33"/>
      <c r="M10" s="32" t="s">
        <v>33</v>
      </c>
      <c r="N10" s="33"/>
      <c r="O10" s="33"/>
      <c r="P10" s="77"/>
    </row>
    <row r="11" spans="1:16" ht="68.25" customHeight="1">
      <c r="A11" s="354">
        <v>6</v>
      </c>
      <c r="B11" s="43" t="s">
        <v>189</v>
      </c>
      <c r="C11" s="43"/>
      <c r="D11" s="57" t="s">
        <v>116</v>
      </c>
      <c r="E11" s="33" t="s">
        <v>131</v>
      </c>
      <c r="F11" s="47">
        <v>59000</v>
      </c>
      <c r="G11" s="78" t="s">
        <v>23</v>
      </c>
      <c r="H11" s="78" t="s">
        <v>77</v>
      </c>
      <c r="I11" s="78">
        <v>1399</v>
      </c>
      <c r="J11" s="78" t="s">
        <v>25</v>
      </c>
      <c r="K11" s="48">
        <v>1</v>
      </c>
      <c r="L11" s="33"/>
      <c r="M11" s="32" t="s">
        <v>33</v>
      </c>
      <c r="N11" s="33"/>
      <c r="O11" s="33"/>
      <c r="P11" s="77"/>
    </row>
    <row r="12" spans="1:16" ht="51" customHeight="1">
      <c r="A12" s="354">
        <v>7</v>
      </c>
      <c r="B12" s="43" t="s">
        <v>189</v>
      </c>
      <c r="C12" s="43"/>
      <c r="D12" s="57" t="s">
        <v>116</v>
      </c>
      <c r="E12" s="33" t="s">
        <v>191</v>
      </c>
      <c r="F12" s="47">
        <v>270000</v>
      </c>
      <c r="G12" s="78" t="s">
        <v>23</v>
      </c>
      <c r="H12" s="78" t="s">
        <v>77</v>
      </c>
      <c r="I12" s="78">
        <v>1399</v>
      </c>
      <c r="J12" s="78" t="s">
        <v>25</v>
      </c>
      <c r="K12" s="48">
        <v>1</v>
      </c>
      <c r="L12" s="33"/>
      <c r="M12" s="32" t="s">
        <v>33</v>
      </c>
      <c r="N12" s="33"/>
      <c r="O12" s="33"/>
      <c r="P12" s="77"/>
    </row>
    <row r="13" spans="1:16" ht="76.5" customHeight="1">
      <c r="A13" s="354">
        <v>8</v>
      </c>
      <c r="B13" s="43" t="s">
        <v>189</v>
      </c>
      <c r="C13" s="43"/>
      <c r="D13" s="57" t="s">
        <v>116</v>
      </c>
      <c r="E13" s="33" t="s">
        <v>118</v>
      </c>
      <c r="F13" s="47">
        <v>40000</v>
      </c>
      <c r="G13" s="78" t="s">
        <v>23</v>
      </c>
      <c r="H13" s="78" t="s">
        <v>77</v>
      </c>
      <c r="I13" s="78">
        <v>1399</v>
      </c>
      <c r="J13" s="78" t="s">
        <v>25</v>
      </c>
      <c r="K13" s="48">
        <v>1</v>
      </c>
      <c r="L13" s="33"/>
      <c r="M13" s="32" t="s">
        <v>33</v>
      </c>
      <c r="N13" s="33"/>
      <c r="O13" s="33"/>
      <c r="P13" s="77"/>
    </row>
    <row r="14" spans="1:16" ht="191.45" customHeight="1">
      <c r="A14" s="354">
        <v>9</v>
      </c>
      <c r="B14" s="43" t="s">
        <v>189</v>
      </c>
      <c r="C14" s="43" t="s">
        <v>192</v>
      </c>
      <c r="D14" s="52" t="s">
        <v>55</v>
      </c>
      <c r="E14" s="25" t="s">
        <v>193</v>
      </c>
      <c r="F14" s="47">
        <v>687200</v>
      </c>
      <c r="G14" s="78" t="s">
        <v>23</v>
      </c>
      <c r="H14" s="78" t="s">
        <v>77</v>
      </c>
      <c r="I14" s="78">
        <v>1399</v>
      </c>
      <c r="J14" s="78" t="s">
        <v>25</v>
      </c>
      <c r="K14" s="48">
        <v>1</v>
      </c>
      <c r="L14" s="33"/>
      <c r="M14" s="32" t="s">
        <v>33</v>
      </c>
      <c r="N14" s="33"/>
      <c r="O14" s="33"/>
      <c r="P14" s="77"/>
    </row>
    <row r="15" spans="1:16" ht="54.75" customHeight="1">
      <c r="A15" s="354">
        <v>10</v>
      </c>
      <c r="B15" s="43" t="s">
        <v>189</v>
      </c>
      <c r="C15" s="43" t="s">
        <v>184</v>
      </c>
      <c r="D15" s="57" t="s">
        <v>31</v>
      </c>
      <c r="E15" s="91" t="s">
        <v>132</v>
      </c>
      <c r="F15" s="47">
        <v>200000</v>
      </c>
      <c r="G15" s="78" t="s">
        <v>23</v>
      </c>
      <c r="H15" s="78" t="s">
        <v>77</v>
      </c>
      <c r="I15" s="78">
        <v>1399</v>
      </c>
      <c r="J15" s="78" t="s">
        <v>25</v>
      </c>
      <c r="K15" s="48">
        <v>1</v>
      </c>
      <c r="L15" s="33"/>
      <c r="M15" s="32" t="s">
        <v>33</v>
      </c>
      <c r="N15" s="33"/>
      <c r="O15" s="33"/>
      <c r="P15" s="77"/>
    </row>
    <row r="16" spans="1:16" ht="54.75" customHeight="1">
      <c r="A16" s="354">
        <v>11</v>
      </c>
      <c r="B16" s="43" t="s">
        <v>189</v>
      </c>
      <c r="C16" s="43"/>
      <c r="D16" s="57" t="s">
        <v>31</v>
      </c>
      <c r="E16" s="33" t="s">
        <v>119</v>
      </c>
      <c r="F16" s="47">
        <v>378000</v>
      </c>
      <c r="G16" s="78" t="s">
        <v>23</v>
      </c>
      <c r="H16" s="78" t="s">
        <v>77</v>
      </c>
      <c r="I16" s="78">
        <v>1399</v>
      </c>
      <c r="J16" s="78" t="s">
        <v>25</v>
      </c>
      <c r="K16" s="48">
        <v>1</v>
      </c>
      <c r="L16" s="44"/>
      <c r="M16" s="32" t="s">
        <v>33</v>
      </c>
      <c r="N16" s="44"/>
      <c r="O16" s="32"/>
      <c r="P16" s="77"/>
    </row>
    <row r="17" spans="1:35" ht="54.75" customHeight="1">
      <c r="A17" s="354">
        <v>12</v>
      </c>
      <c r="B17" s="43" t="s">
        <v>189</v>
      </c>
      <c r="C17" s="43"/>
      <c r="D17" s="57" t="s">
        <v>31</v>
      </c>
      <c r="E17" s="33" t="s">
        <v>120</v>
      </c>
      <c r="F17" s="47">
        <v>337088</v>
      </c>
      <c r="G17" s="78" t="s">
        <v>23</v>
      </c>
      <c r="H17" s="78" t="s">
        <v>77</v>
      </c>
      <c r="I17" s="78">
        <v>1399</v>
      </c>
      <c r="J17" s="78" t="s">
        <v>25</v>
      </c>
      <c r="K17" s="48">
        <v>1</v>
      </c>
      <c r="L17" s="44"/>
      <c r="M17" s="32" t="s">
        <v>33</v>
      </c>
      <c r="N17" s="44"/>
      <c r="O17" s="32"/>
      <c r="P17" s="77"/>
    </row>
    <row r="18" spans="1:35" ht="54.75" customHeight="1">
      <c r="A18" s="354">
        <v>13</v>
      </c>
      <c r="B18" s="43" t="s">
        <v>189</v>
      </c>
      <c r="C18" s="43"/>
      <c r="D18" s="57" t="s">
        <v>31</v>
      </c>
      <c r="E18" s="33" t="s">
        <v>121</v>
      </c>
      <c r="F18" s="47">
        <v>263784</v>
      </c>
      <c r="G18" s="78" t="s">
        <v>23</v>
      </c>
      <c r="H18" s="78" t="s">
        <v>77</v>
      </c>
      <c r="I18" s="78">
        <v>1399</v>
      </c>
      <c r="J18" s="78" t="s">
        <v>25</v>
      </c>
      <c r="K18" s="48">
        <v>1</v>
      </c>
      <c r="L18" s="44"/>
      <c r="M18" s="32" t="s">
        <v>33</v>
      </c>
      <c r="N18" s="44"/>
      <c r="O18" s="32"/>
      <c r="P18" s="77"/>
    </row>
    <row r="19" spans="1:35" ht="49.5" customHeight="1">
      <c r="A19" s="354">
        <v>14</v>
      </c>
      <c r="B19" s="43" t="s">
        <v>189</v>
      </c>
      <c r="C19" s="43"/>
      <c r="D19" s="57" t="s">
        <v>31</v>
      </c>
      <c r="E19" s="33" t="s">
        <v>122</v>
      </c>
      <c r="F19" s="47">
        <v>300000</v>
      </c>
      <c r="G19" s="78" t="s">
        <v>23</v>
      </c>
      <c r="H19" s="78" t="s">
        <v>77</v>
      </c>
      <c r="I19" s="78">
        <v>1399</v>
      </c>
      <c r="J19" s="78" t="s">
        <v>25</v>
      </c>
      <c r="K19" s="48">
        <v>1</v>
      </c>
      <c r="L19" s="44"/>
      <c r="M19" s="32" t="s">
        <v>33</v>
      </c>
      <c r="N19" s="44"/>
      <c r="O19" s="32"/>
      <c r="P19" s="77"/>
    </row>
    <row r="20" spans="1:35" ht="131.44999999999999" customHeight="1">
      <c r="A20" s="354">
        <v>15</v>
      </c>
      <c r="B20" s="43" t="s">
        <v>189</v>
      </c>
      <c r="C20" s="58" t="s">
        <v>194</v>
      </c>
      <c r="D20" s="57" t="s">
        <v>54</v>
      </c>
      <c r="E20" s="76" t="s">
        <v>195</v>
      </c>
      <c r="F20" s="47">
        <v>4821624</v>
      </c>
      <c r="G20" s="78" t="s">
        <v>23</v>
      </c>
      <c r="H20" s="78" t="s">
        <v>77</v>
      </c>
      <c r="I20" s="78">
        <v>1399</v>
      </c>
      <c r="J20" s="78" t="s">
        <v>25</v>
      </c>
      <c r="K20" s="48">
        <v>1</v>
      </c>
      <c r="L20" s="76"/>
      <c r="M20" s="32" t="s">
        <v>33</v>
      </c>
      <c r="N20" s="76"/>
      <c r="O20" s="32"/>
      <c r="P20" s="38"/>
      <c r="Q20" s="28"/>
    </row>
    <row r="21" spans="1:35" ht="42.6" customHeight="1">
      <c r="A21" s="354">
        <v>16</v>
      </c>
      <c r="B21" s="43" t="s">
        <v>189</v>
      </c>
      <c r="C21" s="43"/>
      <c r="D21" s="52" t="s">
        <v>40</v>
      </c>
      <c r="E21" s="32" t="s">
        <v>133</v>
      </c>
      <c r="F21" s="47">
        <v>1413600</v>
      </c>
      <c r="G21" s="78" t="s">
        <v>23</v>
      </c>
      <c r="H21" s="78" t="s">
        <v>41</v>
      </c>
      <c r="I21" s="78">
        <v>1399</v>
      </c>
      <c r="J21" s="78" t="s">
        <v>25</v>
      </c>
      <c r="K21" s="48">
        <v>1</v>
      </c>
      <c r="L21" s="44"/>
      <c r="M21" s="32" t="s">
        <v>33</v>
      </c>
      <c r="N21" s="44"/>
      <c r="O21" s="68"/>
      <c r="P21" s="33"/>
      <c r="Q21" s="29"/>
      <c r="R21" s="29"/>
    </row>
    <row r="22" spans="1:35" ht="27.75" customHeight="1">
      <c r="A22" s="354">
        <v>17</v>
      </c>
      <c r="B22" s="43" t="s">
        <v>189</v>
      </c>
      <c r="C22" s="43"/>
      <c r="D22" s="52" t="s">
        <v>40</v>
      </c>
      <c r="E22" s="32" t="s">
        <v>196</v>
      </c>
      <c r="F22" s="47">
        <v>8704800</v>
      </c>
      <c r="G22" s="78" t="s">
        <v>23</v>
      </c>
      <c r="H22" s="78" t="s">
        <v>41</v>
      </c>
      <c r="I22" s="78">
        <v>1399</v>
      </c>
      <c r="J22" s="78" t="s">
        <v>25</v>
      </c>
      <c r="K22" s="48">
        <v>1</v>
      </c>
      <c r="L22" s="44"/>
      <c r="M22" s="32" t="s">
        <v>33</v>
      </c>
      <c r="N22" s="44"/>
      <c r="O22" s="33"/>
      <c r="P22" s="33"/>
      <c r="Q22" s="29"/>
      <c r="R22" s="29"/>
    </row>
    <row r="23" spans="1:35" ht="73.900000000000006" customHeight="1">
      <c r="A23" s="354">
        <v>18</v>
      </c>
      <c r="B23" s="43" t="s">
        <v>189</v>
      </c>
      <c r="C23" s="43"/>
      <c r="D23" s="52" t="s">
        <v>40</v>
      </c>
      <c r="E23" s="32" t="s">
        <v>43</v>
      </c>
      <c r="F23" s="100" t="s">
        <v>17</v>
      </c>
      <c r="G23" s="78" t="s">
        <v>17</v>
      </c>
      <c r="H23" s="78" t="s">
        <v>17</v>
      </c>
      <c r="I23" s="78">
        <v>1399</v>
      </c>
      <c r="J23" s="78" t="s">
        <v>25</v>
      </c>
      <c r="K23" s="48">
        <v>1</v>
      </c>
      <c r="L23" s="44"/>
      <c r="M23" s="32" t="s">
        <v>33</v>
      </c>
      <c r="N23" s="44"/>
      <c r="O23" s="67"/>
      <c r="P23" s="100" t="s">
        <v>324</v>
      </c>
      <c r="Q23" s="29"/>
      <c r="R23" s="29"/>
    </row>
    <row r="24" spans="1:35" ht="27.75" customHeight="1">
      <c r="A24" s="354">
        <v>19</v>
      </c>
      <c r="B24" s="43" t="s">
        <v>189</v>
      </c>
      <c r="C24" s="43"/>
      <c r="D24" s="52" t="s">
        <v>40</v>
      </c>
      <c r="E24" s="32" t="s">
        <v>197</v>
      </c>
      <c r="F24" s="47">
        <v>3395616</v>
      </c>
      <c r="G24" s="78" t="s">
        <v>23</v>
      </c>
      <c r="H24" s="78" t="s">
        <v>41</v>
      </c>
      <c r="I24" s="78">
        <v>1399</v>
      </c>
      <c r="J24" s="78" t="s">
        <v>25</v>
      </c>
      <c r="K24" s="48">
        <v>1</v>
      </c>
      <c r="L24" s="44"/>
      <c r="M24" s="32" t="s">
        <v>33</v>
      </c>
      <c r="N24" s="44"/>
      <c r="O24" s="68"/>
      <c r="P24" s="33"/>
      <c r="Q24" s="29"/>
      <c r="R24" s="29"/>
    </row>
    <row r="25" spans="1:35" ht="86.45" customHeight="1">
      <c r="A25" s="354">
        <v>20</v>
      </c>
      <c r="B25" s="43" t="s">
        <v>189</v>
      </c>
      <c r="C25" s="43"/>
      <c r="D25" s="52" t="s">
        <v>40</v>
      </c>
      <c r="E25" s="32" t="s">
        <v>198</v>
      </c>
      <c r="F25" s="177">
        <v>4044380</v>
      </c>
      <c r="G25" s="351" t="s">
        <v>23</v>
      </c>
      <c r="H25" s="351" t="s">
        <v>41</v>
      </c>
      <c r="I25" s="78">
        <v>1399</v>
      </c>
      <c r="J25" s="78" t="s">
        <v>25</v>
      </c>
      <c r="K25" s="48">
        <v>1</v>
      </c>
      <c r="L25" s="44"/>
      <c r="M25" s="32" t="s">
        <v>33</v>
      </c>
      <c r="N25" s="22" t="s">
        <v>325</v>
      </c>
      <c r="O25" s="22" t="s">
        <v>939</v>
      </c>
      <c r="P25" s="33"/>
      <c r="Q25" s="29"/>
      <c r="R25" s="29"/>
    </row>
    <row r="26" spans="1:35" ht="57.6" customHeight="1">
      <c r="A26" s="354">
        <v>21</v>
      </c>
      <c r="B26" s="43" t="s">
        <v>189</v>
      </c>
      <c r="C26" s="43"/>
      <c r="D26" s="52" t="s">
        <v>40</v>
      </c>
      <c r="E26" s="32" t="s">
        <v>199</v>
      </c>
      <c r="F26" s="177">
        <v>73260</v>
      </c>
      <c r="G26" s="78" t="s">
        <v>23</v>
      </c>
      <c r="H26" s="78" t="s">
        <v>41</v>
      </c>
      <c r="I26" s="78">
        <v>1399</v>
      </c>
      <c r="J26" s="78" t="s">
        <v>25</v>
      </c>
      <c r="K26" s="48">
        <v>1</v>
      </c>
      <c r="L26" s="44"/>
      <c r="M26" s="32" t="s">
        <v>33</v>
      </c>
      <c r="N26" s="44"/>
      <c r="O26" s="33"/>
      <c r="P26" s="33"/>
      <c r="Q26" s="29"/>
      <c r="R26" s="29"/>
    </row>
    <row r="27" spans="1:35" ht="81.599999999999994" customHeight="1">
      <c r="A27" s="354">
        <v>22</v>
      </c>
      <c r="B27" s="43" t="s">
        <v>189</v>
      </c>
      <c r="C27" s="43"/>
      <c r="D27" s="52" t="s">
        <v>40</v>
      </c>
      <c r="E27" s="32" t="s">
        <v>86</v>
      </c>
      <c r="F27" s="177">
        <v>750000</v>
      </c>
      <c r="G27" s="78" t="s">
        <v>23</v>
      </c>
      <c r="H27" s="78" t="s">
        <v>41</v>
      </c>
      <c r="I27" s="78">
        <v>1399</v>
      </c>
      <c r="J27" s="78" t="s">
        <v>25</v>
      </c>
      <c r="K27" s="48">
        <v>1</v>
      </c>
      <c r="L27" s="44" t="s">
        <v>947</v>
      </c>
      <c r="M27" s="32" t="s">
        <v>33</v>
      </c>
      <c r="N27" s="22" t="s">
        <v>325</v>
      </c>
      <c r="O27" s="22" t="s">
        <v>939</v>
      </c>
      <c r="P27" s="77"/>
      <c r="Q27" s="29"/>
      <c r="R27" s="29"/>
    </row>
    <row r="28" spans="1:35" ht="86.45" customHeight="1">
      <c r="A28" s="354">
        <v>23</v>
      </c>
      <c r="B28" s="43" t="s">
        <v>189</v>
      </c>
      <c r="C28" s="43"/>
      <c r="D28" s="52" t="s">
        <v>40</v>
      </c>
      <c r="E28" s="32" t="s">
        <v>200</v>
      </c>
      <c r="F28" s="177">
        <v>14580</v>
      </c>
      <c r="G28" s="78" t="s">
        <v>23</v>
      </c>
      <c r="H28" s="78" t="s">
        <v>41</v>
      </c>
      <c r="I28" s="78">
        <v>1399</v>
      </c>
      <c r="J28" s="78" t="s">
        <v>25</v>
      </c>
      <c r="K28" s="97">
        <v>1</v>
      </c>
      <c r="L28" s="44" t="s">
        <v>947</v>
      </c>
      <c r="M28" s="32" t="s">
        <v>33</v>
      </c>
      <c r="N28" s="22" t="s">
        <v>325</v>
      </c>
      <c r="O28" s="22" t="s">
        <v>939</v>
      </c>
      <c r="P28" s="77"/>
      <c r="Q28" s="29"/>
      <c r="R28" s="29"/>
    </row>
    <row r="29" spans="1:35" ht="78.599999999999994" customHeight="1">
      <c r="A29" s="354">
        <v>24</v>
      </c>
      <c r="B29" s="43" t="s">
        <v>189</v>
      </c>
      <c r="C29" s="43"/>
      <c r="D29" s="52" t="s">
        <v>40</v>
      </c>
      <c r="E29" s="32" t="s">
        <v>163</v>
      </c>
      <c r="F29" s="177">
        <v>89280</v>
      </c>
      <c r="G29" s="78" t="s">
        <v>23</v>
      </c>
      <c r="H29" s="78" t="s">
        <v>41</v>
      </c>
      <c r="I29" s="78">
        <v>1399</v>
      </c>
      <c r="J29" s="78" t="s">
        <v>25</v>
      </c>
      <c r="K29" s="97">
        <v>1</v>
      </c>
      <c r="L29" s="44" t="s">
        <v>947</v>
      </c>
      <c r="M29" s="32" t="s">
        <v>33</v>
      </c>
      <c r="N29" s="22" t="s">
        <v>325</v>
      </c>
      <c r="O29" s="22" t="s">
        <v>939</v>
      </c>
      <c r="P29" s="33"/>
      <c r="Q29" s="29"/>
      <c r="R29" s="29"/>
      <c r="X29" s="806"/>
      <c r="Y29" s="806"/>
      <c r="Z29" s="806"/>
      <c r="AA29" s="806"/>
      <c r="AB29" s="806"/>
      <c r="AC29" s="806"/>
      <c r="AD29" s="806"/>
      <c r="AE29" s="806"/>
      <c r="AF29" s="806"/>
      <c r="AG29" s="806"/>
      <c r="AH29" s="806"/>
      <c r="AI29" s="806"/>
    </row>
    <row r="30" spans="1:35" ht="51" customHeight="1">
      <c r="A30" s="354">
        <v>25</v>
      </c>
      <c r="B30" s="43" t="s">
        <v>189</v>
      </c>
      <c r="C30" s="43"/>
      <c r="D30" s="52" t="s">
        <v>40</v>
      </c>
      <c r="E30" s="32" t="s">
        <v>201</v>
      </c>
      <c r="F30" s="47">
        <v>262355</v>
      </c>
      <c r="G30" s="78" t="s">
        <v>23</v>
      </c>
      <c r="H30" s="78" t="s">
        <v>41</v>
      </c>
      <c r="I30" s="78">
        <v>1399</v>
      </c>
      <c r="J30" s="78" t="s">
        <v>25</v>
      </c>
      <c r="K30" s="48">
        <v>1</v>
      </c>
      <c r="L30" s="44"/>
      <c r="M30" s="32" t="s">
        <v>33</v>
      </c>
      <c r="N30" s="44"/>
      <c r="O30" s="33"/>
      <c r="P30" s="33"/>
      <c r="Q30" s="29"/>
      <c r="R30" s="29"/>
    </row>
    <row r="31" spans="1:35" ht="51" customHeight="1">
      <c r="A31" s="354">
        <v>26</v>
      </c>
      <c r="B31" s="43" t="s">
        <v>189</v>
      </c>
      <c r="C31" s="43"/>
      <c r="D31" s="52" t="s">
        <v>40</v>
      </c>
      <c r="E31" s="32" t="s">
        <v>137</v>
      </c>
      <c r="F31" s="47">
        <v>151800</v>
      </c>
      <c r="G31" s="78" t="s">
        <v>23</v>
      </c>
      <c r="H31" s="78" t="s">
        <v>41</v>
      </c>
      <c r="I31" s="78">
        <v>1399</v>
      </c>
      <c r="J31" s="78" t="s">
        <v>25</v>
      </c>
      <c r="K31" s="48">
        <v>1</v>
      </c>
      <c r="L31" s="44"/>
      <c r="M31" s="32" t="s">
        <v>33</v>
      </c>
      <c r="N31" s="44"/>
      <c r="O31" s="33"/>
      <c r="P31" s="77"/>
      <c r="Q31" s="29"/>
      <c r="R31" s="29"/>
    </row>
    <row r="32" spans="1:35" ht="51" customHeight="1">
      <c r="A32" s="354">
        <v>27</v>
      </c>
      <c r="B32" s="43" t="s">
        <v>189</v>
      </c>
      <c r="C32" s="43"/>
      <c r="D32" s="52" t="s">
        <v>40</v>
      </c>
      <c r="E32" s="32" t="s">
        <v>90</v>
      </c>
      <c r="F32" s="47">
        <v>42514</v>
      </c>
      <c r="G32" s="78" t="s">
        <v>23</v>
      </c>
      <c r="H32" s="78" t="s">
        <v>41</v>
      </c>
      <c r="I32" s="78">
        <v>1399</v>
      </c>
      <c r="J32" s="78" t="s">
        <v>25</v>
      </c>
      <c r="K32" s="48">
        <v>1</v>
      </c>
      <c r="L32" s="44"/>
      <c r="M32" s="32" t="s">
        <v>33</v>
      </c>
      <c r="N32" s="44"/>
      <c r="O32" s="33"/>
      <c r="P32" s="825"/>
      <c r="Q32" s="29"/>
      <c r="R32" s="29"/>
    </row>
    <row r="33" spans="1:18" ht="51" customHeight="1">
      <c r="A33" s="354">
        <v>28</v>
      </c>
      <c r="B33" s="43" t="s">
        <v>189</v>
      </c>
      <c r="C33" s="43"/>
      <c r="D33" s="52" t="s">
        <v>40</v>
      </c>
      <c r="E33" s="33" t="s">
        <v>91</v>
      </c>
      <c r="F33" s="47">
        <v>104100</v>
      </c>
      <c r="G33" s="78" t="s">
        <v>23</v>
      </c>
      <c r="H33" s="78" t="s">
        <v>41</v>
      </c>
      <c r="I33" s="78">
        <v>1399</v>
      </c>
      <c r="J33" s="78" t="s">
        <v>25</v>
      </c>
      <c r="K33" s="48">
        <v>1</v>
      </c>
      <c r="L33" s="44"/>
      <c r="M33" s="32" t="s">
        <v>33</v>
      </c>
      <c r="N33" s="44"/>
      <c r="O33" s="33"/>
      <c r="P33" s="825"/>
      <c r="Q33" s="29"/>
      <c r="R33" s="29"/>
    </row>
    <row r="34" spans="1:18" ht="51" customHeight="1">
      <c r="A34" s="354">
        <v>29</v>
      </c>
      <c r="B34" s="43" t="s">
        <v>189</v>
      </c>
      <c r="C34" s="43"/>
      <c r="D34" s="52" t="s">
        <v>40</v>
      </c>
      <c r="E34" s="33" t="s">
        <v>153</v>
      </c>
      <c r="F34" s="47">
        <v>72900</v>
      </c>
      <c r="G34" s="78" t="s">
        <v>23</v>
      </c>
      <c r="H34" s="78" t="s">
        <v>41</v>
      </c>
      <c r="I34" s="78">
        <v>1399</v>
      </c>
      <c r="J34" s="78" t="s">
        <v>25</v>
      </c>
      <c r="K34" s="48">
        <v>1</v>
      </c>
      <c r="L34" s="44"/>
      <c r="M34" s="32" t="s">
        <v>33</v>
      </c>
      <c r="N34" s="44"/>
      <c r="O34" s="33"/>
      <c r="P34" s="825"/>
      <c r="Q34" s="29"/>
      <c r="R34" s="29"/>
    </row>
    <row r="35" spans="1:18" ht="51" customHeight="1">
      <c r="A35" s="354">
        <v>30</v>
      </c>
      <c r="B35" s="43" t="s">
        <v>189</v>
      </c>
      <c r="C35" s="43"/>
      <c r="D35" s="52" t="s">
        <v>40</v>
      </c>
      <c r="E35" s="33" t="s">
        <v>179</v>
      </c>
      <c r="F35" s="47">
        <v>45550</v>
      </c>
      <c r="G35" s="78" t="s">
        <v>23</v>
      </c>
      <c r="H35" s="78" t="s">
        <v>41</v>
      </c>
      <c r="I35" s="78">
        <v>1399</v>
      </c>
      <c r="J35" s="78" t="s">
        <v>25</v>
      </c>
      <c r="K35" s="48">
        <v>1</v>
      </c>
      <c r="L35" s="44"/>
      <c r="M35" s="32" t="s">
        <v>33</v>
      </c>
      <c r="N35" s="44"/>
      <c r="O35" s="33"/>
      <c r="P35" s="825"/>
      <c r="Q35" s="29"/>
      <c r="R35" s="29"/>
    </row>
    <row r="36" spans="1:18" ht="51" customHeight="1">
      <c r="A36" s="354">
        <v>31</v>
      </c>
      <c r="B36" s="43" t="s">
        <v>189</v>
      </c>
      <c r="C36" s="43"/>
      <c r="D36" s="52" t="s">
        <v>40</v>
      </c>
      <c r="E36" s="32" t="s">
        <v>164</v>
      </c>
      <c r="F36" s="47">
        <v>157500</v>
      </c>
      <c r="G36" s="78" t="s">
        <v>23</v>
      </c>
      <c r="H36" s="78" t="s">
        <v>41</v>
      </c>
      <c r="I36" s="78">
        <v>1399</v>
      </c>
      <c r="J36" s="78" t="s">
        <v>25</v>
      </c>
      <c r="K36" s="48">
        <v>1</v>
      </c>
      <c r="L36" s="44"/>
      <c r="M36" s="32" t="s">
        <v>33</v>
      </c>
      <c r="N36" s="44"/>
      <c r="O36" s="33"/>
      <c r="P36" s="825"/>
      <c r="Q36" s="29"/>
      <c r="R36" s="29"/>
    </row>
    <row r="37" spans="1:18" ht="90">
      <c r="A37" s="354">
        <v>32</v>
      </c>
      <c r="B37" s="43" t="s">
        <v>189</v>
      </c>
      <c r="C37" s="43"/>
      <c r="D37" s="52" t="s">
        <v>40</v>
      </c>
      <c r="E37" s="32" t="s">
        <v>125</v>
      </c>
      <c r="F37" s="177">
        <v>45570</v>
      </c>
      <c r="G37" s="78" t="s">
        <v>23</v>
      </c>
      <c r="H37" s="78" t="s">
        <v>41</v>
      </c>
      <c r="I37" s="78">
        <v>1399</v>
      </c>
      <c r="J37" s="78" t="s">
        <v>25</v>
      </c>
      <c r="K37" s="48">
        <v>1</v>
      </c>
      <c r="L37" s="44"/>
      <c r="M37" s="32" t="s">
        <v>33</v>
      </c>
      <c r="N37" s="22" t="s">
        <v>325</v>
      </c>
      <c r="O37" s="22" t="s">
        <v>939</v>
      </c>
      <c r="P37" s="77"/>
      <c r="Q37" s="29"/>
      <c r="R37" s="29"/>
    </row>
    <row r="38" spans="1:18" ht="56.45" customHeight="1">
      <c r="A38" s="354">
        <v>33</v>
      </c>
      <c r="B38" s="43" t="s">
        <v>189</v>
      </c>
      <c r="C38" s="43"/>
      <c r="D38" s="52" t="s">
        <v>40</v>
      </c>
      <c r="E38" s="32" t="s">
        <v>51</v>
      </c>
      <c r="F38" s="177">
        <v>52080</v>
      </c>
      <c r="G38" s="78" t="s">
        <v>23</v>
      </c>
      <c r="H38" s="78" t="s">
        <v>41</v>
      </c>
      <c r="I38" s="78">
        <v>1399</v>
      </c>
      <c r="J38" s="78" t="s">
        <v>25</v>
      </c>
      <c r="K38" s="48">
        <v>1</v>
      </c>
      <c r="L38" s="44"/>
      <c r="M38" s="32" t="s">
        <v>33</v>
      </c>
      <c r="N38" s="44"/>
      <c r="O38" s="33"/>
      <c r="P38" s="825"/>
      <c r="Q38" s="29"/>
      <c r="R38" s="29"/>
    </row>
    <row r="39" spans="1:18" ht="79.900000000000006" customHeight="1">
      <c r="A39" s="354">
        <v>34</v>
      </c>
      <c r="B39" s="43" t="s">
        <v>189</v>
      </c>
      <c r="C39" s="43"/>
      <c r="D39" s="52" t="s">
        <v>40</v>
      </c>
      <c r="E39" s="32" t="s">
        <v>104</v>
      </c>
      <c r="F39" s="177">
        <v>364560</v>
      </c>
      <c r="G39" s="78" t="s">
        <v>23</v>
      </c>
      <c r="H39" s="78" t="s">
        <v>41</v>
      </c>
      <c r="I39" s="78">
        <v>1399</v>
      </c>
      <c r="J39" s="78" t="s">
        <v>25</v>
      </c>
      <c r="K39" s="48">
        <v>1</v>
      </c>
      <c r="L39" s="44"/>
      <c r="M39" s="32" t="s">
        <v>33</v>
      </c>
      <c r="N39" s="22" t="s">
        <v>325</v>
      </c>
      <c r="O39" s="22" t="s">
        <v>939</v>
      </c>
      <c r="P39" s="825"/>
      <c r="Q39" s="29"/>
      <c r="R39" s="29"/>
    </row>
    <row r="40" spans="1:18" ht="86.25" customHeight="1">
      <c r="A40" s="354">
        <v>35</v>
      </c>
      <c r="B40" s="43" t="s">
        <v>189</v>
      </c>
      <c r="C40" s="43"/>
      <c r="D40" s="52" t="s">
        <v>40</v>
      </c>
      <c r="E40" s="32" t="s">
        <v>53</v>
      </c>
      <c r="F40" s="177">
        <v>5390000</v>
      </c>
      <c r="G40" s="78" t="s">
        <v>23</v>
      </c>
      <c r="H40" s="78" t="s">
        <v>41</v>
      </c>
      <c r="I40" s="78">
        <v>1399</v>
      </c>
      <c r="J40" s="78" t="s">
        <v>25</v>
      </c>
      <c r="K40" s="48">
        <v>1</v>
      </c>
      <c r="L40" s="44"/>
      <c r="M40" s="32" t="s">
        <v>33</v>
      </c>
      <c r="N40" s="22" t="s">
        <v>325</v>
      </c>
      <c r="O40" s="22" t="s">
        <v>939</v>
      </c>
      <c r="P40" s="77"/>
      <c r="Q40" s="29"/>
      <c r="R40" s="29"/>
    </row>
    <row r="41" spans="1:18" ht="69" customHeight="1">
      <c r="A41" s="354">
        <v>36</v>
      </c>
      <c r="B41" s="43" t="s">
        <v>189</v>
      </c>
      <c r="C41" s="43"/>
      <c r="D41" s="52" t="s">
        <v>40</v>
      </c>
      <c r="E41" s="32" t="s">
        <v>127</v>
      </c>
      <c r="F41" s="47">
        <v>528000</v>
      </c>
      <c r="G41" s="78" t="s">
        <v>23</v>
      </c>
      <c r="H41" s="78" t="s">
        <v>41</v>
      </c>
      <c r="I41" s="78">
        <v>1399</v>
      </c>
      <c r="J41" s="78" t="s">
        <v>25</v>
      </c>
      <c r="K41" s="48">
        <v>1</v>
      </c>
      <c r="L41" s="44"/>
      <c r="M41" s="32" t="s">
        <v>33</v>
      </c>
      <c r="N41" s="44"/>
      <c r="O41" s="33"/>
      <c r="P41" s="33"/>
      <c r="Q41" s="29"/>
      <c r="R41" s="29"/>
    </row>
    <row r="42" spans="1:18" ht="69" customHeight="1">
      <c r="A42" s="354">
        <v>37</v>
      </c>
      <c r="B42" s="43" t="s">
        <v>189</v>
      </c>
      <c r="C42" s="43"/>
      <c r="D42" s="52" t="s">
        <v>40</v>
      </c>
      <c r="E42" s="102" t="s">
        <v>128</v>
      </c>
      <c r="F42" s="47">
        <v>480000</v>
      </c>
      <c r="G42" s="78" t="s">
        <v>23</v>
      </c>
      <c r="H42" s="78" t="s">
        <v>41</v>
      </c>
      <c r="I42" s="78">
        <v>1399</v>
      </c>
      <c r="J42" s="78" t="s">
        <v>25</v>
      </c>
      <c r="K42" s="48">
        <v>1</v>
      </c>
      <c r="L42" s="44"/>
      <c r="M42" s="32" t="s">
        <v>33</v>
      </c>
      <c r="N42" s="44"/>
      <c r="O42" s="33"/>
      <c r="P42" s="33"/>
      <c r="Q42" s="29"/>
      <c r="R42" s="29"/>
    </row>
    <row r="43" spans="1:18" ht="82.15" customHeight="1">
      <c r="A43" s="354">
        <v>38</v>
      </c>
      <c r="B43" s="43" t="s">
        <v>189</v>
      </c>
      <c r="C43" s="43"/>
      <c r="D43" s="52" t="s">
        <v>40</v>
      </c>
      <c r="E43" s="32" t="s">
        <v>202</v>
      </c>
      <c r="F43" s="177">
        <v>936000</v>
      </c>
      <c r="G43" s="78" t="s">
        <v>23</v>
      </c>
      <c r="H43" s="78" t="s">
        <v>41</v>
      </c>
      <c r="I43" s="78">
        <v>1399</v>
      </c>
      <c r="J43" s="78" t="s">
        <v>25</v>
      </c>
      <c r="K43" s="48">
        <v>1</v>
      </c>
      <c r="L43" s="44"/>
      <c r="M43" s="32" t="s">
        <v>33</v>
      </c>
      <c r="N43" s="22" t="s">
        <v>325</v>
      </c>
      <c r="O43" s="22" t="s">
        <v>939</v>
      </c>
      <c r="P43" s="33"/>
      <c r="Q43" s="29"/>
      <c r="R43" s="29"/>
    </row>
    <row r="44" spans="1:18" ht="54">
      <c r="A44" s="354">
        <v>39</v>
      </c>
      <c r="B44" s="6" t="s">
        <v>75</v>
      </c>
      <c r="C44" s="43"/>
      <c r="D44" s="36" t="s">
        <v>76</v>
      </c>
      <c r="E44" s="40" t="s">
        <v>967</v>
      </c>
      <c r="F44" s="35">
        <v>61932075</v>
      </c>
      <c r="G44" s="19" t="s">
        <v>23</v>
      </c>
      <c r="H44" s="22" t="s">
        <v>77</v>
      </c>
      <c r="I44" s="19">
        <v>1399</v>
      </c>
      <c r="J44" s="22" t="s">
        <v>25</v>
      </c>
      <c r="K44" s="60">
        <v>1</v>
      </c>
      <c r="L44" s="33"/>
      <c r="M44" s="32" t="s">
        <v>17</v>
      </c>
      <c r="N44" s="22"/>
      <c r="O44" s="22"/>
      <c r="P44" s="33"/>
      <c r="Q44" s="33"/>
    </row>
    <row r="45" spans="1:18" s="461" customFormat="1" ht="67.150000000000006" customHeight="1">
      <c r="A45" s="354">
        <v>40</v>
      </c>
      <c r="B45" s="43" t="s">
        <v>189</v>
      </c>
      <c r="C45" s="43" t="s">
        <v>1006</v>
      </c>
      <c r="D45" s="466" t="s">
        <v>168</v>
      </c>
      <c r="E45" s="33" t="s">
        <v>1007</v>
      </c>
      <c r="F45" s="47">
        <v>1979700</v>
      </c>
      <c r="G45" s="351" t="s">
        <v>23</v>
      </c>
      <c r="H45" s="351" t="s">
        <v>77</v>
      </c>
      <c r="I45" s="351">
        <v>1399</v>
      </c>
      <c r="J45" s="351" t="s">
        <v>25</v>
      </c>
      <c r="K45" s="48">
        <v>1</v>
      </c>
      <c r="L45" s="33"/>
      <c r="M45" s="32" t="s">
        <v>33</v>
      </c>
      <c r="N45" s="33"/>
      <c r="O45" s="33"/>
      <c r="P45" s="33" t="s">
        <v>1008</v>
      </c>
      <c r="Q45" s="29"/>
      <c r="R45" s="29"/>
    </row>
    <row r="46" spans="1:18" s="461" customFormat="1" ht="79.900000000000006" customHeight="1">
      <c r="A46" s="354">
        <v>41</v>
      </c>
      <c r="B46" s="43" t="s">
        <v>189</v>
      </c>
      <c r="C46" s="43" t="s">
        <v>1009</v>
      </c>
      <c r="D46" s="466" t="s">
        <v>111</v>
      </c>
      <c r="E46" s="33" t="s">
        <v>1010</v>
      </c>
      <c r="F46" s="47">
        <v>445000</v>
      </c>
      <c r="G46" s="351" t="s">
        <v>23</v>
      </c>
      <c r="H46" s="351" t="s">
        <v>77</v>
      </c>
      <c r="I46" s="351">
        <v>1399</v>
      </c>
      <c r="J46" s="351" t="s">
        <v>25</v>
      </c>
      <c r="K46" s="48">
        <v>1</v>
      </c>
      <c r="L46" s="33"/>
      <c r="M46" s="32" t="s">
        <v>33</v>
      </c>
      <c r="N46" s="33"/>
      <c r="O46" s="33"/>
      <c r="P46" s="475"/>
      <c r="Q46" s="29"/>
      <c r="R46" s="29"/>
    </row>
    <row r="47" spans="1:18" s="461" customFormat="1" ht="65.45" customHeight="1">
      <c r="A47" s="354">
        <v>42</v>
      </c>
      <c r="B47" s="43" t="s">
        <v>189</v>
      </c>
      <c r="C47" s="43" t="s">
        <v>1011</v>
      </c>
      <c r="D47" s="466" t="s">
        <v>111</v>
      </c>
      <c r="E47" s="33" t="s">
        <v>1012</v>
      </c>
      <c r="F47" s="47">
        <v>320000</v>
      </c>
      <c r="G47" s="351" t="s">
        <v>23</v>
      </c>
      <c r="H47" s="351" t="s">
        <v>77</v>
      </c>
      <c r="I47" s="351">
        <v>1399</v>
      </c>
      <c r="J47" s="351" t="s">
        <v>25</v>
      </c>
      <c r="K47" s="48">
        <v>1</v>
      </c>
      <c r="L47" s="33"/>
      <c r="M47" s="32" t="s">
        <v>33</v>
      </c>
      <c r="N47" s="33"/>
      <c r="O47" s="33"/>
      <c r="P47" s="45"/>
      <c r="Q47" s="29"/>
      <c r="R47" s="29"/>
    </row>
    <row r="48" spans="1:18" s="552" customFormat="1" ht="108" customHeight="1">
      <c r="A48" s="354">
        <v>43</v>
      </c>
      <c r="B48" s="237" t="s">
        <v>20</v>
      </c>
      <c r="C48" s="196"/>
      <c r="D48" s="196" t="s">
        <v>1473</v>
      </c>
      <c r="E48" s="237" t="s">
        <v>1013</v>
      </c>
      <c r="F48" s="259">
        <v>385370</v>
      </c>
      <c r="G48" s="354" t="s">
        <v>23</v>
      </c>
      <c r="H48" s="476" t="s">
        <v>24</v>
      </c>
      <c r="I48" s="354">
        <v>1399</v>
      </c>
      <c r="J48" s="551" t="s">
        <v>25</v>
      </c>
      <c r="K48" s="163">
        <v>1</v>
      </c>
      <c r="L48" s="33"/>
      <c r="M48" s="32" t="s">
        <v>33</v>
      </c>
      <c r="N48" s="33"/>
      <c r="O48" s="236"/>
      <c r="P48" s="553"/>
    </row>
    <row r="49" spans="1:16" s="552" customFormat="1" ht="61.5" customHeight="1">
      <c r="A49" s="354">
        <v>44</v>
      </c>
      <c r="B49" s="43" t="s">
        <v>189</v>
      </c>
      <c r="C49" s="43"/>
      <c r="D49" s="236" t="s">
        <v>1474</v>
      </c>
      <c r="E49" s="236" t="s">
        <v>142</v>
      </c>
      <c r="F49" s="47">
        <v>1282840</v>
      </c>
      <c r="G49" s="354" t="s">
        <v>23</v>
      </c>
      <c r="H49" s="354" t="s">
        <v>77</v>
      </c>
      <c r="I49" s="354">
        <v>1399</v>
      </c>
      <c r="J49" s="354" t="s">
        <v>25</v>
      </c>
      <c r="K49" s="48">
        <v>0</v>
      </c>
      <c r="L49" s="33" t="s">
        <v>72</v>
      </c>
      <c r="M49" s="516"/>
      <c r="N49" s="623" t="s">
        <v>581</v>
      </c>
      <c r="O49" s="33" t="s">
        <v>1832</v>
      </c>
      <c r="P49" s="553"/>
    </row>
    <row r="50" spans="1:16" s="552" customFormat="1" ht="61.5" customHeight="1">
      <c r="A50" s="354">
        <v>45</v>
      </c>
      <c r="B50" s="43" t="s">
        <v>189</v>
      </c>
      <c r="C50" s="43"/>
      <c r="D50" s="236" t="s">
        <v>1474</v>
      </c>
      <c r="E50" s="33" t="s">
        <v>143</v>
      </c>
      <c r="F50" s="47">
        <v>674564</v>
      </c>
      <c r="G50" s="354" t="s">
        <v>23</v>
      </c>
      <c r="H50" s="354" t="s">
        <v>77</v>
      </c>
      <c r="I50" s="354">
        <v>1399</v>
      </c>
      <c r="J50" s="354" t="s">
        <v>25</v>
      </c>
      <c r="K50" s="48">
        <v>0</v>
      </c>
      <c r="L50" s="43" t="s">
        <v>3</v>
      </c>
      <c r="M50" s="516"/>
      <c r="N50" s="623" t="s">
        <v>581</v>
      </c>
      <c r="O50" s="33" t="s">
        <v>1832</v>
      </c>
      <c r="P50" s="553"/>
    </row>
    <row r="51" spans="1:16">
      <c r="M51" s="297"/>
    </row>
  </sheetData>
  <autoFilter ref="D1:D44"/>
  <mergeCells count="18">
    <mergeCell ref="X29:AI29"/>
    <mergeCell ref="P32:P34"/>
    <mergeCell ref="P35:P36"/>
    <mergeCell ref="P38:P39"/>
    <mergeCell ref="O4:O5"/>
    <mergeCell ref="P4:P5"/>
    <mergeCell ref="A1:P3"/>
    <mergeCell ref="A4:A5"/>
    <mergeCell ref="B4:B5"/>
    <mergeCell ref="C4:C5"/>
    <mergeCell ref="D4:D5"/>
    <mergeCell ref="E4:E5"/>
    <mergeCell ref="F4:H4"/>
    <mergeCell ref="I4:I5"/>
    <mergeCell ref="J4:J5"/>
    <mergeCell ref="K4:K5"/>
    <mergeCell ref="L4:M4"/>
    <mergeCell ref="N4:N5"/>
  </mergeCells>
  <printOptions horizontalCentered="1"/>
  <pageMargins left="0.2" right="0.2" top="0.5" bottom="0.5" header="0.3" footer="0.3"/>
  <pageSetup paperSize="9" scale="6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sheetPr>
    <tabColor rgb="FF92D050"/>
  </sheetPr>
  <dimension ref="A1:AH37"/>
  <sheetViews>
    <sheetView rightToLeft="1" view="pageBreakPreview" topLeftCell="C1" zoomScale="91" zoomScaleSheetLayoutView="91" workbookViewId="0">
      <pane ySplit="6" topLeftCell="A34" activePane="bottomLeft" state="frozen"/>
      <selection pane="bottomLeft" activeCell="K37" sqref="K37"/>
    </sheetView>
  </sheetViews>
  <sheetFormatPr defaultColWidth="9.140625" defaultRowHeight="15"/>
  <cols>
    <col min="1" max="1" width="6.7109375" style="92" customWidth="1"/>
    <col min="2" max="2" width="15.140625" style="93" customWidth="1"/>
    <col min="3" max="3" width="10.42578125" style="93" customWidth="1"/>
    <col min="4" max="4" width="16.28515625" style="93" customWidth="1"/>
    <col min="5" max="5" width="29.140625" style="93" customWidth="1"/>
    <col min="6" max="6" width="15.28515625" style="94" customWidth="1"/>
    <col min="7" max="7" width="11.28515625" style="94" customWidth="1"/>
    <col min="8" max="8" width="15.28515625" style="136" customWidth="1"/>
    <col min="9" max="9" width="13.85546875" style="92" customWidth="1"/>
    <col min="10" max="10" width="12.7109375" style="92" customWidth="1"/>
    <col min="11" max="11" width="11.7109375" style="92" customWidth="1"/>
    <col min="12" max="12" width="11.7109375" style="95" customWidth="1"/>
    <col min="13" max="13" width="12.42578125" style="95" customWidth="1"/>
    <col min="14" max="14" width="22.28515625" style="95" customWidth="1"/>
    <col min="15" max="15" width="21.140625" style="95" customWidth="1"/>
    <col min="16" max="16" width="12.140625" style="96" customWidth="1"/>
    <col min="17" max="16384" width="9.140625" style="4"/>
  </cols>
  <sheetData>
    <row r="1" spans="1:17" ht="18" customHeight="1">
      <c r="A1" s="830" t="s">
        <v>1876</v>
      </c>
      <c r="B1" s="831"/>
      <c r="C1" s="831"/>
      <c r="D1" s="831"/>
      <c r="E1" s="831"/>
      <c r="F1" s="831"/>
      <c r="G1" s="831"/>
      <c r="H1" s="831"/>
      <c r="I1" s="831"/>
      <c r="J1" s="831"/>
      <c r="K1" s="831"/>
      <c r="L1" s="831"/>
      <c r="M1" s="831"/>
      <c r="N1" s="831"/>
      <c r="O1" s="831"/>
      <c r="P1" s="831"/>
    </row>
    <row r="2" spans="1:17" ht="18" customHeight="1">
      <c r="A2" s="831"/>
      <c r="B2" s="831"/>
      <c r="C2" s="831"/>
      <c r="D2" s="831"/>
      <c r="E2" s="831"/>
      <c r="F2" s="831"/>
      <c r="G2" s="831"/>
      <c r="H2" s="831"/>
      <c r="I2" s="831"/>
      <c r="J2" s="831"/>
      <c r="K2" s="831"/>
      <c r="L2" s="831"/>
      <c r="M2" s="831"/>
      <c r="N2" s="831"/>
      <c r="O2" s="831"/>
      <c r="P2" s="831"/>
    </row>
    <row r="3" spans="1:17" ht="18" customHeight="1">
      <c r="A3" s="831"/>
      <c r="B3" s="831"/>
      <c r="C3" s="831"/>
      <c r="D3" s="831"/>
      <c r="E3" s="831"/>
      <c r="F3" s="831"/>
      <c r="G3" s="831"/>
      <c r="H3" s="831"/>
      <c r="I3" s="831"/>
      <c r="J3" s="831"/>
      <c r="K3" s="831"/>
      <c r="L3" s="831"/>
      <c r="M3" s="831"/>
      <c r="N3" s="831"/>
      <c r="O3" s="831"/>
      <c r="P3" s="831"/>
    </row>
    <row r="4" spans="1:17" ht="18" customHeight="1">
      <c r="A4" s="832"/>
      <c r="B4" s="832"/>
      <c r="C4" s="832"/>
      <c r="D4" s="832"/>
      <c r="E4" s="832"/>
      <c r="F4" s="832"/>
      <c r="G4" s="832"/>
      <c r="H4" s="832"/>
      <c r="I4" s="832"/>
      <c r="J4" s="832"/>
      <c r="K4" s="832"/>
      <c r="L4" s="832"/>
      <c r="M4" s="832"/>
      <c r="N4" s="832"/>
      <c r="O4" s="832"/>
      <c r="P4" s="832"/>
    </row>
    <row r="5" spans="1:17" ht="27.6" customHeight="1">
      <c r="A5" s="792" t="s">
        <v>0</v>
      </c>
      <c r="B5" s="829" t="s">
        <v>14</v>
      </c>
      <c r="C5" s="829" t="s">
        <v>18</v>
      </c>
      <c r="D5" s="829" t="s">
        <v>1</v>
      </c>
      <c r="E5" s="829" t="s">
        <v>15</v>
      </c>
      <c r="F5" s="792" t="s">
        <v>9</v>
      </c>
      <c r="G5" s="792"/>
      <c r="H5" s="792"/>
      <c r="I5" s="792" t="s">
        <v>7</v>
      </c>
      <c r="J5" s="792" t="s">
        <v>6</v>
      </c>
      <c r="K5" s="792" t="s">
        <v>16</v>
      </c>
      <c r="L5" s="829" t="s">
        <v>2</v>
      </c>
      <c r="M5" s="829"/>
      <c r="N5" s="829" t="s">
        <v>5</v>
      </c>
      <c r="O5" s="829" t="s">
        <v>13</v>
      </c>
      <c r="P5" s="792" t="s">
        <v>8</v>
      </c>
    </row>
    <row r="6" spans="1:17" ht="37.15" customHeight="1">
      <c r="A6" s="792"/>
      <c r="B6" s="829"/>
      <c r="C6" s="829"/>
      <c r="D6" s="829"/>
      <c r="E6" s="829"/>
      <c r="F6" s="346" t="s">
        <v>10</v>
      </c>
      <c r="G6" s="346" t="s">
        <v>11</v>
      </c>
      <c r="H6" s="346" t="s">
        <v>12</v>
      </c>
      <c r="I6" s="792"/>
      <c r="J6" s="792"/>
      <c r="K6" s="792"/>
      <c r="L6" s="347" t="s">
        <v>3</v>
      </c>
      <c r="M6" s="347" t="s">
        <v>4</v>
      </c>
      <c r="N6" s="829"/>
      <c r="O6" s="829"/>
      <c r="P6" s="792"/>
    </row>
    <row r="7" spans="1:17" ht="52.15" customHeight="1">
      <c r="A7" s="19">
        <v>1</v>
      </c>
      <c r="B7" s="33" t="s">
        <v>144</v>
      </c>
      <c r="C7" s="33"/>
      <c r="D7" s="79" t="s">
        <v>28</v>
      </c>
      <c r="E7" s="79" t="s">
        <v>217</v>
      </c>
      <c r="F7" s="47">
        <v>135000</v>
      </c>
      <c r="G7" s="19" t="s">
        <v>23</v>
      </c>
      <c r="H7" s="22" t="s">
        <v>77</v>
      </c>
      <c r="I7" s="53">
        <v>1399</v>
      </c>
      <c r="J7" s="53" t="s">
        <v>25</v>
      </c>
      <c r="K7" s="54">
        <v>1</v>
      </c>
      <c r="L7" s="33"/>
      <c r="M7" s="33" t="s">
        <v>33</v>
      </c>
      <c r="N7" s="33"/>
      <c r="O7" s="33"/>
      <c r="P7" s="55"/>
    </row>
    <row r="8" spans="1:17" ht="49.9" customHeight="1">
      <c r="A8" s="19">
        <v>2</v>
      </c>
      <c r="B8" s="33" t="s">
        <v>144</v>
      </c>
      <c r="C8" s="33"/>
      <c r="D8" s="79" t="s">
        <v>28</v>
      </c>
      <c r="E8" s="33" t="s">
        <v>165</v>
      </c>
      <c r="F8" s="47">
        <v>8400000</v>
      </c>
      <c r="G8" s="19" t="s">
        <v>23</v>
      </c>
      <c r="H8" s="22" t="s">
        <v>77</v>
      </c>
      <c r="I8" s="53">
        <v>1399</v>
      </c>
      <c r="J8" s="53" t="s">
        <v>25</v>
      </c>
      <c r="K8" s="54">
        <v>1</v>
      </c>
      <c r="L8" s="40"/>
      <c r="M8" s="33" t="s">
        <v>33</v>
      </c>
      <c r="N8" s="22"/>
      <c r="O8" s="40"/>
      <c r="P8" s="25" t="s">
        <v>17</v>
      </c>
    </row>
    <row r="9" spans="1:17" ht="55.9" customHeight="1">
      <c r="A9" s="588">
        <v>3</v>
      </c>
      <c r="B9" s="33" t="s">
        <v>144</v>
      </c>
      <c r="C9" s="33"/>
      <c r="D9" s="79" t="s">
        <v>116</v>
      </c>
      <c r="E9" s="33" t="s">
        <v>117</v>
      </c>
      <c r="F9" s="47">
        <v>1280000</v>
      </c>
      <c r="G9" s="19" t="s">
        <v>23</v>
      </c>
      <c r="H9" s="22" t="s">
        <v>77</v>
      </c>
      <c r="I9" s="53">
        <v>1399</v>
      </c>
      <c r="J9" s="53" t="s">
        <v>25</v>
      </c>
      <c r="K9" s="54">
        <v>1</v>
      </c>
      <c r="L9" s="33"/>
      <c r="M9" s="33" t="s">
        <v>33</v>
      </c>
      <c r="N9" s="132"/>
      <c r="O9" s="33"/>
      <c r="P9" s="81"/>
    </row>
    <row r="10" spans="1:17" ht="54" customHeight="1">
      <c r="A10" s="588">
        <v>4</v>
      </c>
      <c r="B10" s="33" t="s">
        <v>144</v>
      </c>
      <c r="C10" s="33"/>
      <c r="D10" s="79" t="s">
        <v>116</v>
      </c>
      <c r="E10" s="33" t="s">
        <v>79</v>
      </c>
      <c r="F10" s="47">
        <v>67000</v>
      </c>
      <c r="G10" s="19" t="s">
        <v>23</v>
      </c>
      <c r="H10" s="22" t="s">
        <v>77</v>
      </c>
      <c r="I10" s="53">
        <v>1399</v>
      </c>
      <c r="J10" s="53" t="s">
        <v>25</v>
      </c>
      <c r="K10" s="54">
        <v>1</v>
      </c>
      <c r="L10" s="33"/>
      <c r="M10" s="33" t="s">
        <v>33</v>
      </c>
      <c r="N10" s="132"/>
      <c r="O10" s="33"/>
      <c r="P10" s="81"/>
    </row>
    <row r="11" spans="1:17" ht="54" customHeight="1">
      <c r="A11" s="588">
        <v>5</v>
      </c>
      <c r="B11" s="33" t="s">
        <v>144</v>
      </c>
      <c r="C11" s="33"/>
      <c r="D11" s="79" t="s">
        <v>31</v>
      </c>
      <c r="E11" s="33" t="s">
        <v>120</v>
      </c>
      <c r="F11" s="47">
        <v>204540</v>
      </c>
      <c r="G11" s="19" t="s">
        <v>23</v>
      </c>
      <c r="H11" s="22" t="s">
        <v>77</v>
      </c>
      <c r="I11" s="53">
        <v>1399</v>
      </c>
      <c r="J11" s="53" t="s">
        <v>25</v>
      </c>
      <c r="K11" s="54">
        <v>1</v>
      </c>
      <c r="L11" s="44"/>
      <c r="M11" s="33" t="s">
        <v>33</v>
      </c>
      <c r="N11" s="133"/>
      <c r="O11" s="32"/>
      <c r="P11" s="81"/>
    </row>
    <row r="12" spans="1:17" ht="55.9" customHeight="1">
      <c r="A12" s="588">
        <v>6</v>
      </c>
      <c r="B12" s="33" t="s">
        <v>144</v>
      </c>
      <c r="C12" s="33"/>
      <c r="D12" s="79" t="s">
        <v>31</v>
      </c>
      <c r="E12" s="33" t="s">
        <v>121</v>
      </c>
      <c r="F12" s="47">
        <v>162760</v>
      </c>
      <c r="G12" s="356" t="s">
        <v>23</v>
      </c>
      <c r="H12" s="22" t="s">
        <v>77</v>
      </c>
      <c r="I12" s="53">
        <v>1399</v>
      </c>
      <c r="J12" s="53" t="s">
        <v>25</v>
      </c>
      <c r="K12" s="54">
        <v>1</v>
      </c>
      <c r="L12" s="44" t="s">
        <v>17</v>
      </c>
      <c r="M12" s="33" t="s">
        <v>33</v>
      </c>
      <c r="N12" s="133" t="s">
        <v>17</v>
      </c>
      <c r="O12" s="32"/>
      <c r="P12" s="81"/>
    </row>
    <row r="13" spans="1:17" ht="53.45" customHeight="1">
      <c r="A13" s="588">
        <v>7</v>
      </c>
      <c r="B13" s="33" t="s">
        <v>144</v>
      </c>
      <c r="C13" s="33"/>
      <c r="D13" s="79" t="s">
        <v>31</v>
      </c>
      <c r="E13" s="33" t="s">
        <v>122</v>
      </c>
      <c r="F13" s="47">
        <v>254000</v>
      </c>
      <c r="G13" s="19" t="s">
        <v>23</v>
      </c>
      <c r="H13" s="22" t="s">
        <v>77</v>
      </c>
      <c r="I13" s="53">
        <v>1399</v>
      </c>
      <c r="J13" s="53" t="s">
        <v>25</v>
      </c>
      <c r="K13" s="54">
        <v>1</v>
      </c>
      <c r="L13" s="44"/>
      <c r="M13" s="33" t="s">
        <v>33</v>
      </c>
      <c r="N13" s="133"/>
      <c r="O13" s="32"/>
      <c r="P13" s="81"/>
    </row>
    <row r="14" spans="1:17" ht="66" customHeight="1">
      <c r="A14" s="588">
        <v>8</v>
      </c>
      <c r="B14" s="33" t="s">
        <v>144</v>
      </c>
      <c r="C14" s="110" t="s">
        <v>218</v>
      </c>
      <c r="D14" s="79" t="s">
        <v>54</v>
      </c>
      <c r="E14" s="343" t="s">
        <v>219</v>
      </c>
      <c r="F14" s="47">
        <v>2040500</v>
      </c>
      <c r="G14" s="19" t="s">
        <v>23</v>
      </c>
      <c r="H14" s="22" t="s">
        <v>77</v>
      </c>
      <c r="I14" s="53">
        <v>1399</v>
      </c>
      <c r="J14" s="53" t="s">
        <v>25</v>
      </c>
      <c r="K14" s="54">
        <v>1</v>
      </c>
      <c r="L14" s="134"/>
      <c r="M14" s="33" t="s">
        <v>33</v>
      </c>
      <c r="N14" s="134"/>
      <c r="O14" s="32"/>
      <c r="P14" s="110"/>
    </row>
    <row r="15" spans="1:17" ht="45.75" customHeight="1">
      <c r="A15" s="588">
        <v>9</v>
      </c>
      <c r="B15" s="33" t="s">
        <v>144</v>
      </c>
      <c r="C15" s="33"/>
      <c r="D15" s="32" t="s">
        <v>40</v>
      </c>
      <c r="E15" s="32" t="s">
        <v>220</v>
      </c>
      <c r="F15" s="47">
        <v>1740960</v>
      </c>
      <c r="G15" s="19" t="s">
        <v>23</v>
      </c>
      <c r="H15" s="22" t="s">
        <v>41</v>
      </c>
      <c r="I15" s="53">
        <v>1399</v>
      </c>
      <c r="J15" s="53" t="s">
        <v>25</v>
      </c>
      <c r="K15" s="54">
        <v>1</v>
      </c>
      <c r="L15" s="103"/>
      <c r="M15" s="33" t="s">
        <v>33</v>
      </c>
      <c r="N15" s="103"/>
      <c r="O15" s="32"/>
      <c r="P15" s="46"/>
      <c r="Q15" s="29"/>
    </row>
    <row r="16" spans="1:17" ht="126">
      <c r="A16" s="588">
        <v>10</v>
      </c>
      <c r="B16" s="33" t="s">
        <v>144</v>
      </c>
      <c r="C16" s="33"/>
      <c r="D16" s="32" t="s">
        <v>40</v>
      </c>
      <c r="E16" s="32" t="s">
        <v>185</v>
      </c>
      <c r="F16" s="47" t="s">
        <v>17</v>
      </c>
      <c r="G16" s="19" t="s">
        <v>17</v>
      </c>
      <c r="H16" s="22" t="s">
        <v>17</v>
      </c>
      <c r="I16" s="53">
        <v>1399</v>
      </c>
      <c r="J16" s="53" t="s">
        <v>25</v>
      </c>
      <c r="K16" s="54">
        <v>1</v>
      </c>
      <c r="L16" s="103"/>
      <c r="M16" s="33" t="s">
        <v>33</v>
      </c>
      <c r="N16" s="103"/>
      <c r="O16" s="32"/>
      <c r="P16" s="135" t="s">
        <v>324</v>
      </c>
      <c r="Q16" s="29"/>
    </row>
    <row r="17" spans="1:34" ht="94.15" customHeight="1">
      <c r="A17" s="588">
        <v>11</v>
      </c>
      <c r="B17" s="33" t="s">
        <v>144</v>
      </c>
      <c r="C17" s="33"/>
      <c r="D17" s="32" t="s">
        <v>40</v>
      </c>
      <c r="E17" s="32" t="s">
        <v>149</v>
      </c>
      <c r="F17" s="177">
        <v>848904</v>
      </c>
      <c r="G17" s="356" t="s">
        <v>23</v>
      </c>
      <c r="H17" s="22" t="s">
        <v>41</v>
      </c>
      <c r="I17" s="53">
        <v>1399</v>
      </c>
      <c r="J17" s="53" t="s">
        <v>25</v>
      </c>
      <c r="K17" s="54">
        <v>1</v>
      </c>
      <c r="L17" s="103" t="s">
        <v>1828</v>
      </c>
      <c r="M17" s="33" t="s">
        <v>33</v>
      </c>
      <c r="N17" s="22" t="s">
        <v>325</v>
      </c>
      <c r="O17" s="22" t="s">
        <v>968</v>
      </c>
      <c r="P17" s="46"/>
      <c r="Q17" s="29"/>
    </row>
    <row r="18" spans="1:34" ht="54">
      <c r="A18" s="588">
        <v>12</v>
      </c>
      <c r="B18" s="33" t="s">
        <v>144</v>
      </c>
      <c r="C18" s="33"/>
      <c r="D18" s="32" t="s">
        <v>40</v>
      </c>
      <c r="E18" s="32" t="s">
        <v>221</v>
      </c>
      <c r="F18" s="47">
        <v>39960</v>
      </c>
      <c r="G18" s="356" t="s">
        <v>23</v>
      </c>
      <c r="H18" s="22" t="s">
        <v>41</v>
      </c>
      <c r="I18" s="53">
        <v>1399</v>
      </c>
      <c r="J18" s="53" t="s">
        <v>25</v>
      </c>
      <c r="K18" s="54">
        <v>1</v>
      </c>
      <c r="L18" s="103"/>
      <c r="M18" s="33" t="s">
        <v>33</v>
      </c>
      <c r="N18" s="103"/>
      <c r="O18" s="32"/>
      <c r="P18" s="46"/>
      <c r="Q18" s="29"/>
    </row>
    <row r="19" spans="1:34" ht="78" customHeight="1">
      <c r="A19" s="588">
        <v>13</v>
      </c>
      <c r="B19" s="33" t="s">
        <v>144</v>
      </c>
      <c r="C19" s="33"/>
      <c r="D19" s="32" t="s">
        <v>40</v>
      </c>
      <c r="E19" s="32" t="s">
        <v>86</v>
      </c>
      <c r="F19" s="177">
        <v>750000</v>
      </c>
      <c r="G19" s="356" t="s">
        <v>23</v>
      </c>
      <c r="H19" s="22" t="s">
        <v>41</v>
      </c>
      <c r="I19" s="53">
        <v>1399</v>
      </c>
      <c r="J19" s="53" t="s">
        <v>25</v>
      </c>
      <c r="K19" s="54">
        <v>1</v>
      </c>
      <c r="L19" s="103" t="s">
        <v>1828</v>
      </c>
      <c r="M19" s="33" t="s">
        <v>33</v>
      </c>
      <c r="N19" s="22" t="s">
        <v>325</v>
      </c>
      <c r="O19" s="22" t="s">
        <v>968</v>
      </c>
      <c r="P19" s="46"/>
      <c r="Q19" s="29"/>
    </row>
    <row r="20" spans="1:34" ht="43.5" customHeight="1">
      <c r="A20" s="588">
        <v>14</v>
      </c>
      <c r="B20" s="33" t="s">
        <v>144</v>
      </c>
      <c r="C20" s="33"/>
      <c r="D20" s="32" t="s">
        <v>40</v>
      </c>
      <c r="E20" s="32" t="s">
        <v>210</v>
      </c>
      <c r="F20" s="47">
        <v>133920</v>
      </c>
      <c r="G20" s="19" t="s">
        <v>23</v>
      </c>
      <c r="H20" s="22" t="s">
        <v>41</v>
      </c>
      <c r="I20" s="53">
        <v>1399</v>
      </c>
      <c r="J20" s="53" t="s">
        <v>25</v>
      </c>
      <c r="K20" s="54">
        <v>1</v>
      </c>
      <c r="L20" s="103"/>
      <c r="M20" s="33" t="s">
        <v>33</v>
      </c>
      <c r="N20" s="103"/>
      <c r="O20" s="32"/>
      <c r="P20" s="46"/>
      <c r="Q20" s="29"/>
    </row>
    <row r="21" spans="1:34" ht="43.5" customHeight="1">
      <c r="A21" s="588">
        <v>15</v>
      </c>
      <c r="B21" s="33" t="s">
        <v>144</v>
      </c>
      <c r="C21" s="33"/>
      <c r="D21" s="32" t="s">
        <v>40</v>
      </c>
      <c r="E21" s="32" t="s">
        <v>222</v>
      </c>
      <c r="F21" s="47">
        <v>18225</v>
      </c>
      <c r="G21" s="19" t="s">
        <v>23</v>
      </c>
      <c r="H21" s="22" t="s">
        <v>41</v>
      </c>
      <c r="I21" s="53">
        <v>1399</v>
      </c>
      <c r="J21" s="53" t="s">
        <v>25</v>
      </c>
      <c r="K21" s="54">
        <v>1</v>
      </c>
      <c r="L21" s="103"/>
      <c r="M21" s="33" t="s">
        <v>33</v>
      </c>
      <c r="N21" s="103"/>
      <c r="O21" s="32"/>
      <c r="P21" s="46"/>
      <c r="Q21" s="29"/>
    </row>
    <row r="22" spans="1:34" ht="43.5" customHeight="1">
      <c r="A22" s="588">
        <v>16</v>
      </c>
      <c r="B22" s="33" t="s">
        <v>144</v>
      </c>
      <c r="C22" s="33"/>
      <c r="D22" s="32" t="s">
        <v>40</v>
      </c>
      <c r="E22" s="32" t="s">
        <v>211</v>
      </c>
      <c r="F22" s="47">
        <v>44640</v>
      </c>
      <c r="G22" s="19" t="s">
        <v>23</v>
      </c>
      <c r="H22" s="22" t="s">
        <v>41</v>
      </c>
      <c r="I22" s="53">
        <v>1399</v>
      </c>
      <c r="J22" s="53" t="s">
        <v>25</v>
      </c>
      <c r="K22" s="54">
        <v>1</v>
      </c>
      <c r="L22" s="103" t="s">
        <v>17</v>
      </c>
      <c r="M22" s="33" t="s">
        <v>33</v>
      </c>
      <c r="N22" s="103"/>
      <c r="O22" s="32"/>
      <c r="P22" s="46"/>
      <c r="Q22" s="29"/>
      <c r="W22" s="806"/>
      <c r="X22" s="806"/>
      <c r="Y22" s="806"/>
      <c r="Z22" s="806"/>
      <c r="AA22" s="806"/>
      <c r="AB22" s="806"/>
      <c r="AC22" s="806"/>
      <c r="AD22" s="806"/>
      <c r="AE22" s="806"/>
      <c r="AF22" s="806"/>
      <c r="AG22" s="806"/>
      <c r="AH22" s="806"/>
    </row>
    <row r="23" spans="1:34" ht="43.5" customHeight="1">
      <c r="A23" s="588">
        <v>17</v>
      </c>
      <c r="B23" s="33" t="s">
        <v>144</v>
      </c>
      <c r="C23" s="33"/>
      <c r="D23" s="32" t="s">
        <v>40</v>
      </c>
      <c r="E23" s="32" t="s">
        <v>205</v>
      </c>
      <c r="F23" s="47">
        <v>75900</v>
      </c>
      <c r="G23" s="19" t="s">
        <v>23</v>
      </c>
      <c r="H23" s="22" t="s">
        <v>41</v>
      </c>
      <c r="I23" s="53">
        <v>1399</v>
      </c>
      <c r="J23" s="53" t="s">
        <v>25</v>
      </c>
      <c r="K23" s="54">
        <v>1</v>
      </c>
      <c r="L23" s="103"/>
      <c r="M23" s="33" t="s">
        <v>33</v>
      </c>
      <c r="N23" s="103"/>
      <c r="O23" s="32"/>
      <c r="P23" s="46"/>
      <c r="Q23" s="29"/>
    </row>
    <row r="24" spans="1:34" ht="43.15" customHeight="1">
      <c r="A24" s="588">
        <v>18</v>
      </c>
      <c r="B24" s="33" t="s">
        <v>144</v>
      </c>
      <c r="C24" s="33"/>
      <c r="D24" s="32" t="s">
        <v>40</v>
      </c>
      <c r="E24" s="32" t="s">
        <v>90</v>
      </c>
      <c r="F24" s="47">
        <v>42514</v>
      </c>
      <c r="G24" s="19" t="s">
        <v>23</v>
      </c>
      <c r="H24" s="22" t="s">
        <v>41</v>
      </c>
      <c r="I24" s="53">
        <v>1399</v>
      </c>
      <c r="J24" s="53" t="s">
        <v>25</v>
      </c>
      <c r="K24" s="54">
        <v>1</v>
      </c>
      <c r="L24" s="103"/>
      <c r="M24" s="33" t="s">
        <v>33</v>
      </c>
      <c r="N24" s="103"/>
      <c r="O24" s="32"/>
      <c r="P24" s="46"/>
      <c r="Q24" s="29"/>
    </row>
    <row r="25" spans="1:34" ht="81.599999999999994" customHeight="1">
      <c r="A25" s="588">
        <v>19</v>
      </c>
      <c r="B25" s="33" t="s">
        <v>144</v>
      </c>
      <c r="C25" s="33"/>
      <c r="D25" s="32" t="s">
        <v>40</v>
      </c>
      <c r="E25" s="32" t="s">
        <v>223</v>
      </c>
      <c r="F25" s="47">
        <v>52050</v>
      </c>
      <c r="G25" s="19" t="s">
        <v>23</v>
      </c>
      <c r="H25" s="22" t="s">
        <v>41</v>
      </c>
      <c r="I25" s="53">
        <v>1399</v>
      </c>
      <c r="J25" s="53" t="s">
        <v>25</v>
      </c>
      <c r="K25" s="54">
        <v>1</v>
      </c>
      <c r="L25" s="103" t="s">
        <v>1828</v>
      </c>
      <c r="M25" s="33" t="s">
        <v>33</v>
      </c>
      <c r="N25" s="22" t="s">
        <v>325</v>
      </c>
      <c r="O25" s="22" t="s">
        <v>968</v>
      </c>
      <c r="P25" s="46"/>
      <c r="Q25" s="29"/>
    </row>
    <row r="26" spans="1:34" ht="76.900000000000006" customHeight="1">
      <c r="A26" s="588">
        <v>20</v>
      </c>
      <c r="B26" s="33" t="s">
        <v>144</v>
      </c>
      <c r="C26" s="33"/>
      <c r="D26" s="32" t="s">
        <v>40</v>
      </c>
      <c r="E26" s="32" t="s">
        <v>153</v>
      </c>
      <c r="F26" s="47">
        <v>72900</v>
      </c>
      <c r="G26" s="19" t="s">
        <v>23</v>
      </c>
      <c r="H26" s="22" t="s">
        <v>41</v>
      </c>
      <c r="I26" s="53">
        <v>1399</v>
      </c>
      <c r="J26" s="53" t="s">
        <v>25</v>
      </c>
      <c r="K26" s="54">
        <v>1</v>
      </c>
      <c r="L26" s="103" t="s">
        <v>1828</v>
      </c>
      <c r="M26" s="33" t="s">
        <v>33</v>
      </c>
      <c r="N26" s="22" t="s">
        <v>325</v>
      </c>
      <c r="O26" s="22" t="s">
        <v>968</v>
      </c>
      <c r="P26" s="46"/>
      <c r="Q26" s="29"/>
    </row>
    <row r="27" spans="1:34" ht="72.599999999999994" customHeight="1">
      <c r="A27" s="588">
        <v>21</v>
      </c>
      <c r="B27" s="33" t="s">
        <v>144</v>
      </c>
      <c r="C27" s="33"/>
      <c r="D27" s="32" t="s">
        <v>40</v>
      </c>
      <c r="E27" s="32" t="s">
        <v>154</v>
      </c>
      <c r="F27" s="47">
        <v>45550</v>
      </c>
      <c r="G27" s="19" t="s">
        <v>23</v>
      </c>
      <c r="H27" s="22" t="s">
        <v>41</v>
      </c>
      <c r="I27" s="53">
        <v>1399</v>
      </c>
      <c r="J27" s="53" t="s">
        <v>25</v>
      </c>
      <c r="K27" s="54">
        <v>1</v>
      </c>
      <c r="L27" s="103" t="s">
        <v>1828</v>
      </c>
      <c r="M27" s="33" t="s">
        <v>33</v>
      </c>
      <c r="N27" s="22" t="s">
        <v>325</v>
      </c>
      <c r="O27" s="22" t="s">
        <v>968</v>
      </c>
      <c r="P27" s="46"/>
      <c r="Q27" s="29"/>
    </row>
    <row r="28" spans="1:34" ht="63" customHeight="1">
      <c r="A28" s="588">
        <v>22</v>
      </c>
      <c r="B28" s="33" t="s">
        <v>144</v>
      </c>
      <c r="C28" s="33"/>
      <c r="D28" s="32" t="s">
        <v>40</v>
      </c>
      <c r="E28" s="32" t="s">
        <v>212</v>
      </c>
      <c r="F28" s="47">
        <v>63000</v>
      </c>
      <c r="G28" s="19" t="s">
        <v>23</v>
      </c>
      <c r="H28" s="22" t="s">
        <v>41</v>
      </c>
      <c r="I28" s="53">
        <v>1399</v>
      </c>
      <c r="J28" s="53" t="s">
        <v>25</v>
      </c>
      <c r="K28" s="54">
        <v>1</v>
      </c>
      <c r="L28" s="103"/>
      <c r="M28" s="33" t="s">
        <v>33</v>
      </c>
      <c r="N28" s="103"/>
      <c r="O28" s="32"/>
      <c r="P28" s="46"/>
      <c r="Q28" s="29"/>
    </row>
    <row r="29" spans="1:34" ht="68.45" customHeight="1">
      <c r="A29" s="588">
        <v>23</v>
      </c>
      <c r="B29" s="33" t="s">
        <v>144</v>
      </c>
      <c r="C29" s="33"/>
      <c r="D29" s="32" t="s">
        <v>40</v>
      </c>
      <c r="E29" s="32" t="s">
        <v>51</v>
      </c>
      <c r="F29" s="47">
        <v>52080</v>
      </c>
      <c r="G29" s="19" t="s">
        <v>23</v>
      </c>
      <c r="H29" s="22" t="s">
        <v>41</v>
      </c>
      <c r="I29" s="53">
        <v>1399</v>
      </c>
      <c r="J29" s="53" t="s">
        <v>25</v>
      </c>
      <c r="K29" s="54">
        <v>1</v>
      </c>
      <c r="L29" s="103" t="s">
        <v>1828</v>
      </c>
      <c r="M29" s="33" t="s">
        <v>33</v>
      </c>
      <c r="N29" s="22" t="s">
        <v>325</v>
      </c>
      <c r="O29" s="22" t="s">
        <v>968</v>
      </c>
      <c r="P29" s="46"/>
      <c r="Q29" s="29"/>
    </row>
    <row r="30" spans="1:34" ht="86.25" customHeight="1">
      <c r="A30" s="588">
        <v>24</v>
      </c>
      <c r="B30" s="33" t="s">
        <v>144</v>
      </c>
      <c r="C30" s="33"/>
      <c r="D30" s="32" t="s">
        <v>40</v>
      </c>
      <c r="E30" s="32" t="s">
        <v>127</v>
      </c>
      <c r="F30" s="47">
        <v>528000</v>
      </c>
      <c r="G30" s="19" t="s">
        <v>23</v>
      </c>
      <c r="H30" s="22" t="s">
        <v>41</v>
      </c>
      <c r="I30" s="53">
        <v>1399</v>
      </c>
      <c r="J30" s="53" t="s">
        <v>25</v>
      </c>
      <c r="K30" s="54">
        <v>1</v>
      </c>
      <c r="L30" s="103"/>
      <c r="M30" s="33" t="s">
        <v>33</v>
      </c>
      <c r="N30" s="103"/>
      <c r="O30" s="32"/>
      <c r="P30" s="46"/>
      <c r="Q30" s="29"/>
    </row>
    <row r="31" spans="1:34" ht="82.5" customHeight="1">
      <c r="A31" s="588">
        <v>25</v>
      </c>
      <c r="B31" s="33" t="s">
        <v>144</v>
      </c>
      <c r="C31" s="33"/>
      <c r="D31" s="32" t="s">
        <v>40</v>
      </c>
      <c r="E31" s="32" t="s">
        <v>128</v>
      </c>
      <c r="F31" s="47">
        <v>480000</v>
      </c>
      <c r="G31" s="19" t="s">
        <v>23</v>
      </c>
      <c r="H31" s="22" t="s">
        <v>41</v>
      </c>
      <c r="I31" s="53">
        <v>1399</v>
      </c>
      <c r="J31" s="53" t="s">
        <v>25</v>
      </c>
      <c r="K31" s="54">
        <v>1</v>
      </c>
      <c r="L31" s="103"/>
      <c r="M31" s="33" t="s">
        <v>33</v>
      </c>
      <c r="N31" s="103"/>
      <c r="O31" s="32"/>
      <c r="P31" s="46"/>
      <c r="Q31" s="29"/>
    </row>
    <row r="32" spans="1:34" ht="82.5" customHeight="1">
      <c r="A32" s="588">
        <v>26</v>
      </c>
      <c r="B32" s="33" t="s">
        <v>144</v>
      </c>
      <c r="C32" s="33" t="s">
        <v>224</v>
      </c>
      <c r="D32" s="40" t="s">
        <v>40</v>
      </c>
      <c r="E32" s="121" t="s">
        <v>106</v>
      </c>
      <c r="F32" s="37">
        <f>76500000/3</f>
        <v>25500000</v>
      </c>
      <c r="G32" s="84" t="s">
        <v>23</v>
      </c>
      <c r="H32" s="84" t="s">
        <v>41</v>
      </c>
      <c r="I32" s="84">
        <v>1399</v>
      </c>
      <c r="J32" s="86" t="s">
        <v>25</v>
      </c>
      <c r="K32" s="48">
        <v>1</v>
      </c>
      <c r="L32" s="104"/>
      <c r="M32" s="33" t="s">
        <v>33</v>
      </c>
      <c r="N32" s="103"/>
      <c r="O32" s="32"/>
      <c r="P32" s="46" t="s">
        <v>17</v>
      </c>
      <c r="Q32" s="29"/>
    </row>
    <row r="33" spans="1:17" ht="99" customHeight="1">
      <c r="A33" s="588">
        <v>27</v>
      </c>
      <c r="B33" s="33" t="s">
        <v>144</v>
      </c>
      <c r="C33" s="33"/>
      <c r="D33" s="32" t="s">
        <v>40</v>
      </c>
      <c r="E33" s="32" t="s">
        <v>129</v>
      </c>
      <c r="F33" s="47">
        <v>936000</v>
      </c>
      <c r="G33" s="356" t="s">
        <v>23</v>
      </c>
      <c r="H33" s="22" t="s">
        <v>41</v>
      </c>
      <c r="I33" s="53">
        <v>1399</v>
      </c>
      <c r="J33" s="53" t="s">
        <v>25</v>
      </c>
      <c r="K33" s="54">
        <v>1</v>
      </c>
      <c r="L33" s="103" t="s">
        <v>1828</v>
      </c>
      <c r="M33" s="33" t="s">
        <v>33</v>
      </c>
      <c r="N33" s="22" t="s">
        <v>325</v>
      </c>
      <c r="O33" s="22" t="s">
        <v>968</v>
      </c>
      <c r="P33" s="46"/>
      <c r="Q33" s="29"/>
    </row>
    <row r="34" spans="1:17" ht="96.75" customHeight="1">
      <c r="A34" s="588">
        <v>28</v>
      </c>
      <c r="B34" s="90" t="s">
        <v>75</v>
      </c>
      <c r="C34" s="33"/>
      <c r="D34" s="40" t="s">
        <v>76</v>
      </c>
      <c r="E34" s="40" t="s">
        <v>225</v>
      </c>
      <c r="F34" s="35">
        <v>14095860</v>
      </c>
      <c r="G34" s="19" t="s">
        <v>23</v>
      </c>
      <c r="H34" s="22" t="s">
        <v>77</v>
      </c>
      <c r="I34" s="19">
        <v>1399</v>
      </c>
      <c r="J34" s="22" t="s">
        <v>25</v>
      </c>
      <c r="K34" s="60">
        <v>1</v>
      </c>
      <c r="L34" s="33"/>
      <c r="M34" s="33" t="s">
        <v>33</v>
      </c>
      <c r="N34" s="22"/>
      <c r="O34" s="22"/>
      <c r="P34" s="33"/>
    </row>
    <row r="35" spans="1:17" s="461" customFormat="1" ht="63.75" customHeight="1">
      <c r="A35" s="588">
        <v>29</v>
      </c>
      <c r="B35" s="33" t="s">
        <v>144</v>
      </c>
      <c r="C35" s="33" t="s">
        <v>1014</v>
      </c>
      <c r="D35" s="32" t="s">
        <v>111</v>
      </c>
      <c r="E35" s="32" t="s">
        <v>1015</v>
      </c>
      <c r="F35" s="47">
        <v>235000</v>
      </c>
      <c r="G35" s="467" t="s">
        <v>23</v>
      </c>
      <c r="H35" s="22" t="s">
        <v>77</v>
      </c>
      <c r="I35" s="53">
        <v>1399</v>
      </c>
      <c r="J35" s="53" t="s">
        <v>25</v>
      </c>
      <c r="K35" s="54">
        <v>1</v>
      </c>
      <c r="L35" s="67"/>
      <c r="M35" s="33" t="s">
        <v>33</v>
      </c>
      <c r="N35" s="67"/>
      <c r="O35" s="67"/>
      <c r="P35" s="46"/>
      <c r="Q35" s="29"/>
    </row>
    <row r="36" spans="1:17" s="461" customFormat="1" ht="70.150000000000006" customHeight="1">
      <c r="A36" s="588">
        <v>30</v>
      </c>
      <c r="B36" s="33" t="s">
        <v>144</v>
      </c>
      <c r="C36" s="33" t="s">
        <v>1009</v>
      </c>
      <c r="D36" s="32" t="s">
        <v>111</v>
      </c>
      <c r="E36" s="32" t="s">
        <v>1016</v>
      </c>
      <c r="F36" s="47">
        <v>240000</v>
      </c>
      <c r="G36" s="467" t="s">
        <v>23</v>
      </c>
      <c r="H36" s="22" t="s">
        <v>77</v>
      </c>
      <c r="I36" s="53">
        <v>1399</v>
      </c>
      <c r="J36" s="53" t="s">
        <v>25</v>
      </c>
      <c r="K36" s="54">
        <v>1</v>
      </c>
      <c r="L36" s="68"/>
      <c r="M36" s="33" t="s">
        <v>33</v>
      </c>
      <c r="N36" s="68"/>
      <c r="O36" s="68"/>
      <c r="P36" s="46"/>
      <c r="Q36" s="29"/>
    </row>
    <row r="37" spans="1:17" s="552" customFormat="1" ht="67.900000000000006" customHeight="1">
      <c r="A37" s="588">
        <v>31</v>
      </c>
      <c r="B37" s="236" t="s">
        <v>144</v>
      </c>
      <c r="C37" s="236"/>
      <c r="D37" s="43" t="s">
        <v>73</v>
      </c>
      <c r="E37" s="231" t="s">
        <v>97</v>
      </c>
      <c r="F37" s="47">
        <v>1282840</v>
      </c>
      <c r="G37" s="555" t="s">
        <v>23</v>
      </c>
      <c r="H37" s="22" t="s">
        <v>77</v>
      </c>
      <c r="I37" s="53">
        <v>1399</v>
      </c>
      <c r="J37" s="53" t="s">
        <v>25</v>
      </c>
      <c r="K37" s="54">
        <v>0</v>
      </c>
      <c r="L37" s="33" t="s">
        <v>72</v>
      </c>
      <c r="M37" s="564"/>
      <c r="N37" s="623" t="s">
        <v>581</v>
      </c>
      <c r="O37" s="650" t="s">
        <v>1831</v>
      </c>
      <c r="P37" s="565"/>
    </row>
  </sheetData>
  <autoFilter ref="D1:D34"/>
  <mergeCells count="15">
    <mergeCell ref="W22:AH22"/>
    <mergeCell ref="A1:P4"/>
    <mergeCell ref="A5:A6"/>
    <mergeCell ref="B5:B6"/>
    <mergeCell ref="C5:C6"/>
    <mergeCell ref="D5:D6"/>
    <mergeCell ref="E5:E6"/>
    <mergeCell ref="N5:N6"/>
    <mergeCell ref="O5:O6"/>
    <mergeCell ref="P5:P6"/>
    <mergeCell ref="F5:H5"/>
    <mergeCell ref="I5:I6"/>
    <mergeCell ref="J5:J6"/>
    <mergeCell ref="K5:K6"/>
    <mergeCell ref="L5:M5"/>
  </mergeCells>
  <printOptions horizontalCentered="1"/>
  <pageMargins left="0.2" right="0.2" top="0.5" bottom="0.5" header="0.3" footer="0.3"/>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62</vt:i4>
      </vt:variant>
    </vt:vector>
  </HeadingPairs>
  <TitlesOfParts>
    <vt:vector size="97" baseType="lpstr">
      <vt:lpstr>ننگرهار</vt:lpstr>
      <vt:lpstr>خوست</vt:lpstr>
      <vt:lpstr>بلخ</vt:lpstr>
      <vt:lpstr> کنر</vt:lpstr>
      <vt:lpstr>بدخشان</vt:lpstr>
      <vt:lpstr>کندز</vt:lpstr>
      <vt:lpstr>ارزگان</vt:lpstr>
      <vt:lpstr>هلمند</vt:lpstr>
      <vt:lpstr>نیمروز</vt:lpstr>
      <vt:lpstr>پنجشیر</vt:lpstr>
      <vt:lpstr>جوزجان</vt:lpstr>
      <vt:lpstr>سمنگان</vt:lpstr>
      <vt:lpstr>هرات</vt:lpstr>
      <vt:lpstr>فاریاب</vt:lpstr>
      <vt:lpstr>نورستان</vt:lpstr>
      <vt:lpstr>میدان وردگ</vt:lpstr>
      <vt:lpstr>لوگر</vt:lpstr>
      <vt:lpstr>لغمان</vt:lpstr>
      <vt:lpstr>کندهار</vt:lpstr>
      <vt:lpstr>کاپیسا</vt:lpstr>
      <vt:lpstr>کابل</vt:lpstr>
      <vt:lpstr>غور</vt:lpstr>
      <vt:lpstr>غزنی</vt:lpstr>
      <vt:lpstr>سرپل</vt:lpstr>
      <vt:lpstr>زابل</vt:lpstr>
      <vt:lpstr>تخار</vt:lpstr>
      <vt:lpstr>پکتیا</vt:lpstr>
      <vt:lpstr>بامیان</vt:lpstr>
      <vt:lpstr>بادغیس</vt:lpstr>
      <vt:lpstr>پروان</vt:lpstr>
      <vt:lpstr>بغلان</vt:lpstr>
      <vt:lpstr>پکتیکا</vt:lpstr>
      <vt:lpstr>فراه</vt:lpstr>
      <vt:lpstr>دایکندی</vt:lpstr>
      <vt:lpstr>Sheet1</vt:lpstr>
      <vt:lpstr>کندز!Criteria</vt:lpstr>
      <vt:lpstr>ارزگان!Print_Area</vt:lpstr>
      <vt:lpstr>بادغیس!Print_Area</vt:lpstr>
      <vt:lpstr>بامیان!Print_Area</vt:lpstr>
      <vt:lpstr>بدخشان!Print_Area</vt:lpstr>
      <vt:lpstr>بغلان!Print_Area</vt:lpstr>
      <vt:lpstr>بلخ!Print_Area</vt:lpstr>
      <vt:lpstr>پروان!Print_Area</vt:lpstr>
      <vt:lpstr>پکتیا!Print_Area</vt:lpstr>
      <vt:lpstr>پکتیکا!Print_Area</vt:lpstr>
      <vt:lpstr>پنجشیر!Print_Area</vt:lpstr>
      <vt:lpstr>جوزجان!Print_Area</vt:lpstr>
      <vt:lpstr>خوست!Print_Area</vt:lpstr>
      <vt:lpstr>دایکندی!Print_Area</vt:lpstr>
      <vt:lpstr>زابل!Print_Area</vt:lpstr>
      <vt:lpstr>سرپل!Print_Area</vt:lpstr>
      <vt:lpstr>سمنگان!Print_Area</vt:lpstr>
      <vt:lpstr>غزنی!Print_Area</vt:lpstr>
      <vt:lpstr>غور!Print_Area</vt:lpstr>
      <vt:lpstr>فاریاب!Print_Area</vt:lpstr>
      <vt:lpstr>فراه!Print_Area</vt:lpstr>
      <vt:lpstr>کابل!Print_Area</vt:lpstr>
      <vt:lpstr>کاپیسا!Print_Area</vt:lpstr>
      <vt:lpstr>کندز!Print_Area</vt:lpstr>
      <vt:lpstr>لغمان!Print_Area</vt:lpstr>
      <vt:lpstr>لوگر!Print_Area</vt:lpstr>
      <vt:lpstr>'میدان وردگ'!Print_Area</vt:lpstr>
      <vt:lpstr>ننگرهار!Print_Area</vt:lpstr>
      <vt:lpstr>نورستان!Print_Area</vt:lpstr>
      <vt:lpstr>نیمروز!Print_Area</vt:lpstr>
      <vt:lpstr>هرات!Print_Area</vt:lpstr>
      <vt:lpstr>هلمند!Print_Area</vt:lpstr>
      <vt:lpstr>ارزگان!Print_Titles</vt:lpstr>
      <vt:lpstr>بادغیس!Print_Titles</vt:lpstr>
      <vt:lpstr>بامیان!Print_Titles</vt:lpstr>
      <vt:lpstr>بدخشان!Print_Titles</vt:lpstr>
      <vt:lpstr>بغلان!Print_Titles</vt:lpstr>
      <vt:lpstr>بلخ!Print_Titles</vt:lpstr>
      <vt:lpstr>پروان!Print_Titles</vt:lpstr>
      <vt:lpstr>پکتیا!Print_Titles</vt:lpstr>
      <vt:lpstr>پکتیکا!Print_Titles</vt:lpstr>
      <vt:lpstr>پنجشیر!Print_Titles</vt:lpstr>
      <vt:lpstr>جوزجان!Print_Titles</vt:lpstr>
      <vt:lpstr>خوست!Print_Titles</vt:lpstr>
      <vt:lpstr>دایکندی!Print_Titles</vt:lpstr>
      <vt:lpstr>زابل!Print_Titles</vt:lpstr>
      <vt:lpstr>سرپل!Print_Titles</vt:lpstr>
      <vt:lpstr>سمنگان!Print_Titles</vt:lpstr>
      <vt:lpstr>غزنی!Print_Titles</vt:lpstr>
      <vt:lpstr>غور!Print_Titles</vt:lpstr>
      <vt:lpstr>فاریاب!Print_Titles</vt:lpstr>
      <vt:lpstr>فراه!Print_Titles</vt:lpstr>
      <vt:lpstr>کابل!Print_Titles</vt:lpstr>
      <vt:lpstr>کاپیسا!Print_Titles</vt:lpstr>
      <vt:lpstr>کندز!Print_Titles</vt:lpstr>
      <vt:lpstr>لغمان!Print_Titles</vt:lpstr>
      <vt:lpstr>لوگر!Print_Titles</vt:lpstr>
      <vt:lpstr>'میدان وردگ'!Print_Titles</vt:lpstr>
      <vt:lpstr>نورستان!Print_Titles</vt:lpstr>
      <vt:lpstr>نیمروز!Print_Titles</vt:lpstr>
      <vt:lpstr>هرات!Print_Titles</vt:lpstr>
      <vt:lpstr>هلمند!Print_Titles</vt:lpstr>
    </vt:vector>
  </TitlesOfParts>
  <Company>MRT www.Win2Farsi.com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Moorche</dc:creator>
  <cp:lastModifiedBy>arif.walizada</cp:lastModifiedBy>
  <cp:lastPrinted>2020-12-15T10:48:16Z</cp:lastPrinted>
  <dcterms:created xsi:type="dcterms:W3CDTF">2020-05-27T12:21:41Z</dcterms:created>
  <dcterms:modified xsi:type="dcterms:W3CDTF">2021-01-26T05:16:59Z</dcterms:modified>
</cp:coreProperties>
</file>